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\OneDrive\Рабочий стол\"/>
    </mc:Choice>
  </mc:AlternateContent>
  <bookViews>
    <workbookView xWindow="480" yWindow="135" windowWidth="27795" windowHeight="11055"/>
  </bookViews>
  <sheets>
    <sheet name="3" sheetId="1" r:id="rId1"/>
  </sheets>
  <definedNames>
    <definedName name="_xlnm._FilterDatabase" localSheetId="0" hidden="1">'3'!$A$3:$R$89</definedName>
    <definedName name="Z_1C001D03_9586_492C_BBF5_086E6FF46144_.wvu.FilterData" localSheetId="0" hidden="1">'3'!$A$3:$R$89</definedName>
    <definedName name="Z_3CDF2743_179B_4E4D_AA78_919FFE26A174_.wvu.FilterData" localSheetId="0" hidden="1">'3'!$A$3:$R$89</definedName>
    <definedName name="Z_3D0B6D5B_169F_4F4E_8FAC_EB7ED6CF6D58_.wvu.FilterData" localSheetId="0" hidden="1">'3'!$A$3:$R$89</definedName>
    <definedName name="Z_43549C1F_C427_491E_9C74_5FD90C3E536D_.wvu.FilterData" localSheetId="0" hidden="1">'3'!$A$3:$R$89</definedName>
    <definedName name="Z_5C461D0D_4757_4093_BA4C_8593F0EACC85_.wvu.FilterData" localSheetId="0" hidden="1">'3'!$A$3:$R$89</definedName>
    <definedName name="Z_A1BF4013_6B2F_40A2_9A0E_BCD55085EE0A_.wvu.FilterData" localSheetId="0" hidden="1">'3'!$A$3:$R$89</definedName>
    <definedName name="Z_BC2BA52D_C08E_4AB4_891E_358BD45ABBDC_.wvu.FilterData" localSheetId="0" hidden="1">'3'!$A$3:$R$89</definedName>
    <definedName name="Z_D5DE83D4_4E27_4923_983C_44B5BC077B1D_.wvu.FilterData" localSheetId="0" hidden="1">'3'!$A$3:$R$89</definedName>
    <definedName name="Z_DA165900_458F_4D9F_AD05_B300C0EB2048_.wvu.FilterData" localSheetId="0" hidden="1">'3'!$A$3:$R$89</definedName>
    <definedName name="Z_F3DB6A90_CE93_4D81_A3F8_F8EE12608A8E_.wvu.FilterData" localSheetId="0" hidden="1">'3'!$A$3:$R$89</definedName>
  </definedNames>
  <calcPr calcId="152511"/>
</workbook>
</file>

<file path=xl/calcChain.xml><?xml version="1.0" encoding="utf-8"?>
<calcChain xmlns="http://schemas.openxmlformats.org/spreadsheetml/2006/main">
  <c r="P210" i="1" l="1"/>
  <c r="K210" i="1"/>
  <c r="F210" i="1"/>
  <c r="J209" i="1"/>
  <c r="L209" i="1" s="1"/>
  <c r="N209" i="1" s="1"/>
  <c r="R209" i="1" s="1"/>
  <c r="J208" i="1"/>
  <c r="L208" i="1" s="1"/>
  <c r="N208" i="1" s="1"/>
  <c r="R208" i="1" s="1"/>
  <c r="J207" i="1"/>
  <c r="L207" i="1" s="1"/>
  <c r="N207" i="1" s="1"/>
  <c r="R207" i="1" s="1"/>
  <c r="J206" i="1"/>
  <c r="L206" i="1" s="1"/>
  <c r="N206" i="1" s="1"/>
  <c r="R206" i="1" s="1"/>
  <c r="J205" i="1"/>
  <c r="L205" i="1" s="1"/>
  <c r="N205" i="1" s="1"/>
  <c r="R205" i="1" s="1"/>
  <c r="J204" i="1"/>
  <c r="L204" i="1" s="1"/>
  <c r="N204" i="1" s="1"/>
  <c r="R204" i="1" s="1"/>
  <c r="J203" i="1"/>
  <c r="L203" i="1" s="1"/>
  <c r="N203" i="1" s="1"/>
  <c r="R203" i="1" s="1"/>
  <c r="Q202" i="1"/>
  <c r="J202" i="1"/>
  <c r="L202" i="1" s="1"/>
  <c r="N202" i="1" s="1"/>
  <c r="R202" i="1" s="1"/>
  <c r="J201" i="1"/>
  <c r="L201" i="1" s="1"/>
  <c r="N201" i="1" s="1"/>
  <c r="R201" i="1" s="1"/>
  <c r="Q200" i="1"/>
  <c r="J200" i="1"/>
  <c r="L200" i="1" s="1"/>
  <c r="N200" i="1" s="1"/>
  <c r="R200" i="1" s="1"/>
  <c r="Q199" i="1"/>
  <c r="M199" i="1"/>
  <c r="M210" i="1" s="1"/>
  <c r="I199" i="1"/>
  <c r="I210" i="1" s="1"/>
  <c r="Q198" i="1"/>
  <c r="Q210" i="1" s="1"/>
  <c r="H198" i="1"/>
  <c r="J198" i="1" s="1"/>
  <c r="L198" i="1" s="1"/>
  <c r="N198" i="1" s="1"/>
  <c r="R198" i="1" s="1"/>
  <c r="G198" i="1"/>
  <c r="G210" i="1" s="1"/>
  <c r="H197" i="1"/>
  <c r="J197" i="1" s="1"/>
  <c r="L197" i="1" s="1"/>
  <c r="N197" i="1" s="1"/>
  <c r="R197" i="1" s="1"/>
  <c r="J196" i="1"/>
  <c r="H196" i="1"/>
  <c r="M192" i="1"/>
  <c r="K192" i="1"/>
  <c r="I192" i="1"/>
  <c r="G192" i="1"/>
  <c r="F192" i="1"/>
  <c r="H191" i="1"/>
  <c r="J191" i="1" s="1"/>
  <c r="L191" i="1" s="1"/>
  <c r="N191" i="1" s="1"/>
  <c r="R191" i="1" s="1"/>
  <c r="Q190" i="1"/>
  <c r="Q192" i="1" s="1"/>
  <c r="P190" i="1"/>
  <c r="P192" i="1" s="1"/>
  <c r="L190" i="1"/>
  <c r="N190" i="1" s="1"/>
  <c r="H190" i="1"/>
  <c r="J190" i="1" s="1"/>
  <c r="M186" i="1"/>
  <c r="K186" i="1"/>
  <c r="I186" i="1"/>
  <c r="G186" i="1"/>
  <c r="F186" i="1"/>
  <c r="H185" i="1"/>
  <c r="J185" i="1" s="1"/>
  <c r="L185" i="1" s="1"/>
  <c r="N185" i="1" s="1"/>
  <c r="R185" i="1" s="1"/>
  <c r="L184" i="1"/>
  <c r="N184" i="1" s="1"/>
  <c r="N183" i="1"/>
  <c r="H182" i="1"/>
  <c r="J182" i="1" s="1"/>
  <c r="L182" i="1" s="1"/>
  <c r="Q181" i="1"/>
  <c r="P181" i="1"/>
  <c r="J181" i="1"/>
  <c r="L181" i="1" s="1"/>
  <c r="N181" i="1" s="1"/>
  <c r="H181" i="1"/>
  <c r="Q180" i="1"/>
  <c r="P180" i="1"/>
  <c r="H180" i="1"/>
  <c r="J180" i="1" s="1"/>
  <c r="L180" i="1" s="1"/>
  <c r="N180" i="1" s="1"/>
  <c r="R180" i="1" s="1"/>
  <c r="Q179" i="1"/>
  <c r="P179" i="1"/>
  <c r="H179" i="1"/>
  <c r="J179" i="1" s="1"/>
  <c r="L179" i="1" s="1"/>
  <c r="N179" i="1" s="1"/>
  <c r="R179" i="1" s="1"/>
  <c r="H178" i="1"/>
  <c r="J178" i="1" s="1"/>
  <c r="L178" i="1" s="1"/>
  <c r="N178" i="1" s="1"/>
  <c r="R178" i="1" s="1"/>
  <c r="H177" i="1"/>
  <c r="J177" i="1" s="1"/>
  <c r="L177" i="1" s="1"/>
  <c r="N177" i="1" s="1"/>
  <c r="R177" i="1" s="1"/>
  <c r="Q176" i="1"/>
  <c r="P176" i="1"/>
  <c r="H176" i="1"/>
  <c r="J176" i="1" s="1"/>
  <c r="L176" i="1" s="1"/>
  <c r="N176" i="1" s="1"/>
  <c r="R176" i="1" s="1"/>
  <c r="Q175" i="1"/>
  <c r="Q186" i="1" s="1"/>
  <c r="P175" i="1"/>
  <c r="L175" i="1"/>
  <c r="N175" i="1" s="1"/>
  <c r="R175" i="1" s="1"/>
  <c r="H175" i="1"/>
  <c r="J175" i="1" s="1"/>
  <c r="J174" i="1"/>
  <c r="L174" i="1" s="1"/>
  <c r="N174" i="1" s="1"/>
  <c r="R174" i="1" s="1"/>
  <c r="H174" i="1"/>
  <c r="Q169" i="1"/>
  <c r="P169" i="1"/>
  <c r="M169" i="1"/>
  <c r="K169" i="1"/>
  <c r="I169" i="1"/>
  <c r="J168" i="1"/>
  <c r="Q164" i="1"/>
  <c r="P164" i="1"/>
  <c r="M164" i="1"/>
  <c r="K164" i="1"/>
  <c r="I164" i="1"/>
  <c r="J163" i="1"/>
  <c r="L163" i="1" s="1"/>
  <c r="N163" i="1" s="1"/>
  <c r="R163" i="1" s="1"/>
  <c r="J162" i="1"/>
  <c r="L162" i="1" s="1"/>
  <c r="N162" i="1" s="1"/>
  <c r="Q158" i="1"/>
  <c r="P158" i="1"/>
  <c r="M158" i="1"/>
  <c r="K158" i="1"/>
  <c r="I158" i="1"/>
  <c r="J157" i="1"/>
  <c r="Q152" i="1"/>
  <c r="M152" i="1"/>
  <c r="K152" i="1"/>
  <c r="I152" i="1"/>
  <c r="H152" i="1"/>
  <c r="G152" i="1"/>
  <c r="F152" i="1"/>
  <c r="J151" i="1"/>
  <c r="L151" i="1" s="1"/>
  <c r="R151" i="1" s="1"/>
  <c r="L150" i="1"/>
  <c r="R150" i="1" s="1"/>
  <c r="Q149" i="1"/>
  <c r="P149" i="1"/>
  <c r="P152" i="1" s="1"/>
  <c r="L149" i="1"/>
  <c r="N149" i="1" s="1"/>
  <c r="H149" i="1"/>
  <c r="J149" i="1" s="1"/>
  <c r="O146" i="1"/>
  <c r="M146" i="1"/>
  <c r="I146" i="1"/>
  <c r="G146" i="1"/>
  <c r="F146" i="1"/>
  <c r="K145" i="1"/>
  <c r="J145" i="1"/>
  <c r="L145" i="1" s="1"/>
  <c r="Q144" i="1"/>
  <c r="P144" i="1"/>
  <c r="K144" i="1"/>
  <c r="L144" i="1" s="1"/>
  <c r="R144" i="1" s="1"/>
  <c r="Q143" i="1"/>
  <c r="P143" i="1"/>
  <c r="J143" i="1"/>
  <c r="L143" i="1" s="1"/>
  <c r="R143" i="1" s="1"/>
  <c r="Q142" i="1"/>
  <c r="H142" i="1"/>
  <c r="J142" i="1" s="1"/>
  <c r="L142" i="1" s="1"/>
  <c r="Q141" i="1"/>
  <c r="H141" i="1"/>
  <c r="J141" i="1" s="1"/>
  <c r="L141" i="1" s="1"/>
  <c r="N141" i="1" s="1"/>
  <c r="Q140" i="1"/>
  <c r="P140" i="1"/>
  <c r="H140" i="1"/>
  <c r="J140" i="1" s="1"/>
  <c r="L140" i="1" s="1"/>
  <c r="M137" i="1"/>
  <c r="K137" i="1"/>
  <c r="I137" i="1"/>
  <c r="G137" i="1"/>
  <c r="F137" i="1"/>
  <c r="Q136" i="1"/>
  <c r="Q137" i="1" s="1"/>
  <c r="P136" i="1"/>
  <c r="P137" i="1" s="1"/>
  <c r="H136" i="1"/>
  <c r="H137" i="1" s="1"/>
  <c r="P132" i="1"/>
  <c r="M132" i="1"/>
  <c r="K132" i="1"/>
  <c r="I132" i="1"/>
  <c r="G132" i="1"/>
  <c r="F132" i="1"/>
  <c r="Q131" i="1"/>
  <c r="Q132" i="1" s="1"/>
  <c r="H131" i="1"/>
  <c r="H132" i="1" s="1"/>
  <c r="P127" i="1"/>
  <c r="M127" i="1"/>
  <c r="K127" i="1"/>
  <c r="I127" i="1"/>
  <c r="G127" i="1"/>
  <c r="F127" i="1"/>
  <c r="Q126" i="1"/>
  <c r="Q127" i="1" s="1"/>
  <c r="J126" i="1"/>
  <c r="R126" i="1" s="1"/>
  <c r="R127" i="1" s="1"/>
  <c r="H126" i="1"/>
  <c r="H127" i="1" s="1"/>
  <c r="Q122" i="1"/>
  <c r="P122" i="1"/>
  <c r="M122" i="1"/>
  <c r="K122" i="1"/>
  <c r="I122" i="1"/>
  <c r="G122" i="1"/>
  <c r="F122" i="1"/>
  <c r="H121" i="1"/>
  <c r="J121" i="1" s="1"/>
  <c r="R121" i="1" s="1"/>
  <c r="J120" i="1"/>
  <c r="H120" i="1"/>
  <c r="M113" i="1"/>
  <c r="K113" i="1"/>
  <c r="I113" i="1"/>
  <c r="G113" i="1"/>
  <c r="F113" i="1"/>
  <c r="Q112" i="1"/>
  <c r="Q113" i="1" s="1"/>
  <c r="P112" i="1"/>
  <c r="H112" i="1"/>
  <c r="Q111" i="1"/>
  <c r="O111" i="1"/>
  <c r="M111" i="1"/>
  <c r="K111" i="1"/>
  <c r="I111" i="1"/>
  <c r="G111" i="1"/>
  <c r="F111" i="1"/>
  <c r="N110" i="1"/>
  <c r="R110" i="1" s="1"/>
  <c r="J110" i="1"/>
  <c r="H110" i="1"/>
  <c r="Q109" i="1"/>
  <c r="P109" i="1"/>
  <c r="P111" i="1" s="1"/>
  <c r="H109" i="1"/>
  <c r="Q108" i="1"/>
  <c r="O108" i="1"/>
  <c r="M108" i="1"/>
  <c r="K108" i="1"/>
  <c r="I108" i="1"/>
  <c r="G108" i="1"/>
  <c r="F108" i="1"/>
  <c r="Q107" i="1"/>
  <c r="P107" i="1"/>
  <c r="P108" i="1" s="1"/>
  <c r="H107" i="1"/>
  <c r="M106" i="1"/>
  <c r="K106" i="1"/>
  <c r="I106" i="1"/>
  <c r="G106" i="1"/>
  <c r="F106" i="1"/>
  <c r="Q105" i="1"/>
  <c r="Q106" i="1" s="1"/>
  <c r="P105" i="1"/>
  <c r="P106" i="1" s="1"/>
  <c r="H105" i="1"/>
  <c r="J105" i="1" s="1"/>
  <c r="L105" i="1" s="1"/>
  <c r="N105" i="1" s="1"/>
  <c r="R105" i="1" s="1"/>
  <c r="R104" i="1"/>
  <c r="H104" i="1"/>
  <c r="J104" i="1" s="1"/>
  <c r="L104" i="1" s="1"/>
  <c r="N104" i="1" s="1"/>
  <c r="Q103" i="1"/>
  <c r="P103" i="1"/>
  <c r="M103" i="1"/>
  <c r="K103" i="1"/>
  <c r="I103" i="1"/>
  <c r="H103" i="1"/>
  <c r="G103" i="1"/>
  <c r="F103" i="1"/>
  <c r="H102" i="1"/>
  <c r="J102" i="1" s="1"/>
  <c r="L102" i="1" s="1"/>
  <c r="O95" i="1"/>
  <c r="Q94" i="1"/>
  <c r="P94" i="1"/>
  <c r="M94" i="1"/>
  <c r="K94" i="1"/>
  <c r="I94" i="1"/>
  <c r="G94" i="1"/>
  <c r="N93" i="1"/>
  <c r="R93" i="1" s="1"/>
  <c r="H92" i="1"/>
  <c r="J92" i="1" s="1"/>
  <c r="J94" i="1" s="1"/>
  <c r="Q91" i="1"/>
  <c r="P91" i="1"/>
  <c r="M91" i="1"/>
  <c r="L91" i="1"/>
  <c r="K91" i="1"/>
  <c r="J91" i="1"/>
  <c r="I91" i="1"/>
  <c r="R90" i="1"/>
  <c r="R91" i="1" s="1"/>
  <c r="L90" i="1"/>
  <c r="N90" i="1" s="1"/>
  <c r="N91" i="1" s="1"/>
  <c r="J90" i="1"/>
  <c r="K89" i="1"/>
  <c r="I89" i="1"/>
  <c r="G89" i="1"/>
  <c r="F89" i="1"/>
  <c r="L88" i="1"/>
  <c r="N88" i="1" s="1"/>
  <c r="R88" i="1" s="1"/>
  <c r="J88" i="1"/>
  <c r="H87" i="1"/>
  <c r="J87" i="1" s="1"/>
  <c r="L87" i="1" s="1"/>
  <c r="N87" i="1" s="1"/>
  <c r="R87" i="1" s="1"/>
  <c r="N86" i="1"/>
  <c r="R86" i="1" s="1"/>
  <c r="J85" i="1"/>
  <c r="L85" i="1" s="1"/>
  <c r="N85" i="1" s="1"/>
  <c r="R85" i="1" s="1"/>
  <c r="H85" i="1"/>
  <c r="Q84" i="1"/>
  <c r="P84" i="1"/>
  <c r="R84" i="1" s="1"/>
  <c r="H84" i="1"/>
  <c r="J84" i="1" s="1"/>
  <c r="L84" i="1" s="1"/>
  <c r="N84" i="1" s="1"/>
  <c r="G84" i="1"/>
  <c r="Q83" i="1"/>
  <c r="P83" i="1"/>
  <c r="M83" i="1"/>
  <c r="M89" i="1" s="1"/>
  <c r="H83" i="1"/>
  <c r="J83" i="1" s="1"/>
  <c r="Q82" i="1"/>
  <c r="M82" i="1"/>
  <c r="K82" i="1"/>
  <c r="I82" i="1"/>
  <c r="H82" i="1"/>
  <c r="G82" i="1"/>
  <c r="F82" i="1"/>
  <c r="P81" i="1"/>
  <c r="P82" i="1" s="1"/>
  <c r="J81" i="1"/>
  <c r="K80" i="1"/>
  <c r="I80" i="1"/>
  <c r="G80" i="1"/>
  <c r="F80" i="1"/>
  <c r="Q79" i="1"/>
  <c r="Q80" i="1" s="1"/>
  <c r="P79" i="1"/>
  <c r="P80" i="1" s="1"/>
  <c r="M79" i="1"/>
  <c r="L79" i="1"/>
  <c r="H79" i="1"/>
  <c r="J79" i="1" s="1"/>
  <c r="M78" i="1"/>
  <c r="H78" i="1"/>
  <c r="J78" i="1" s="1"/>
  <c r="J80" i="1" s="1"/>
  <c r="Q77" i="1"/>
  <c r="P77" i="1"/>
  <c r="M77" i="1"/>
  <c r="K77" i="1"/>
  <c r="I77" i="1"/>
  <c r="H77" i="1"/>
  <c r="G77" i="1"/>
  <c r="F77" i="1"/>
  <c r="J76" i="1"/>
  <c r="L76" i="1" s="1"/>
  <c r="N76" i="1" s="1"/>
  <c r="R76" i="1" s="1"/>
  <c r="R77" i="1" s="1"/>
  <c r="Q75" i="1"/>
  <c r="P75" i="1"/>
  <c r="M75" i="1"/>
  <c r="K75" i="1"/>
  <c r="I75" i="1"/>
  <c r="G75" i="1"/>
  <c r="F75" i="1"/>
  <c r="L74" i="1"/>
  <c r="N74" i="1" s="1"/>
  <c r="R74" i="1" s="1"/>
  <c r="H73" i="1"/>
  <c r="K72" i="1"/>
  <c r="F72" i="1"/>
  <c r="Q71" i="1"/>
  <c r="P71" i="1"/>
  <c r="N71" i="1"/>
  <c r="R71" i="1" s="1"/>
  <c r="G71" i="1"/>
  <c r="H71" i="1" s="1"/>
  <c r="J71" i="1" s="1"/>
  <c r="L71" i="1" s="1"/>
  <c r="L70" i="1"/>
  <c r="N70" i="1" s="1"/>
  <c r="R70" i="1" s="1"/>
  <c r="H70" i="1"/>
  <c r="Q69" i="1"/>
  <c r="P69" i="1"/>
  <c r="J69" i="1"/>
  <c r="L69" i="1" s="1"/>
  <c r="N69" i="1" s="1"/>
  <c r="R69" i="1" s="1"/>
  <c r="I69" i="1"/>
  <c r="P68" i="1"/>
  <c r="M68" i="1"/>
  <c r="M72" i="1" s="1"/>
  <c r="I68" i="1"/>
  <c r="I72" i="1" s="1"/>
  <c r="H68" i="1"/>
  <c r="H67" i="1"/>
  <c r="J67" i="1" s="1"/>
  <c r="L67" i="1" s="1"/>
  <c r="N67" i="1" s="1"/>
  <c r="R67" i="1" s="1"/>
  <c r="J66" i="1"/>
  <c r="L66" i="1" s="1"/>
  <c r="N66" i="1" s="1"/>
  <c r="R66" i="1" s="1"/>
  <c r="H66" i="1"/>
  <c r="H65" i="1"/>
  <c r="J65" i="1" s="1"/>
  <c r="L65" i="1" s="1"/>
  <c r="N65" i="1" s="1"/>
  <c r="R65" i="1" s="1"/>
  <c r="J64" i="1"/>
  <c r="L64" i="1" s="1"/>
  <c r="N64" i="1" s="1"/>
  <c r="R64" i="1" s="1"/>
  <c r="H64" i="1"/>
  <c r="Q63" i="1"/>
  <c r="P63" i="1"/>
  <c r="H63" i="1"/>
  <c r="J63" i="1" s="1"/>
  <c r="L63" i="1" s="1"/>
  <c r="N63" i="1" s="1"/>
  <c r="G63" i="1"/>
  <c r="Q62" i="1"/>
  <c r="P62" i="1"/>
  <c r="H62" i="1"/>
  <c r="J62" i="1" s="1"/>
  <c r="G62" i="1"/>
  <c r="M61" i="1"/>
  <c r="I61" i="1"/>
  <c r="F61" i="1"/>
  <c r="H60" i="1"/>
  <c r="J60" i="1" s="1"/>
  <c r="L60" i="1" s="1"/>
  <c r="N60" i="1" s="1"/>
  <c r="R60" i="1" s="1"/>
  <c r="H59" i="1"/>
  <c r="J59" i="1" s="1"/>
  <c r="L59" i="1" s="1"/>
  <c r="N59" i="1" s="1"/>
  <c r="R59" i="1" s="1"/>
  <c r="H58" i="1"/>
  <c r="J58" i="1" s="1"/>
  <c r="L58" i="1" s="1"/>
  <c r="N58" i="1" s="1"/>
  <c r="R58" i="1" s="1"/>
  <c r="H57" i="1"/>
  <c r="J57" i="1" s="1"/>
  <c r="L57" i="1" s="1"/>
  <c r="N57" i="1" s="1"/>
  <c r="R57" i="1" s="1"/>
  <c r="Q56" i="1"/>
  <c r="P56" i="1"/>
  <c r="K56" i="1"/>
  <c r="L56" i="1" s="1"/>
  <c r="N56" i="1" s="1"/>
  <c r="R56" i="1" s="1"/>
  <c r="J55" i="1"/>
  <c r="L55" i="1" s="1"/>
  <c r="N55" i="1" s="1"/>
  <c r="R55" i="1" s="1"/>
  <c r="H54" i="1"/>
  <c r="J54" i="1" s="1"/>
  <c r="L54" i="1" s="1"/>
  <c r="N54" i="1" s="1"/>
  <c r="R54" i="1" s="1"/>
  <c r="Q53" i="1"/>
  <c r="P53" i="1"/>
  <c r="J53" i="1"/>
  <c r="L53" i="1" s="1"/>
  <c r="N53" i="1" s="1"/>
  <c r="R53" i="1" s="1"/>
  <c r="H53" i="1"/>
  <c r="Q52" i="1"/>
  <c r="H52" i="1"/>
  <c r="J52" i="1" s="1"/>
  <c r="L52" i="1" s="1"/>
  <c r="N52" i="1" s="1"/>
  <c r="R52" i="1" s="1"/>
  <c r="H51" i="1"/>
  <c r="J51" i="1" s="1"/>
  <c r="L51" i="1" s="1"/>
  <c r="H50" i="1"/>
  <c r="J50" i="1" s="1"/>
  <c r="L50" i="1" s="1"/>
  <c r="R50" i="1" s="1"/>
  <c r="J49" i="1"/>
  <c r="L49" i="1" s="1"/>
  <c r="H49" i="1"/>
  <c r="H48" i="1"/>
  <c r="J48" i="1" s="1"/>
  <c r="L48" i="1" s="1"/>
  <c r="H47" i="1"/>
  <c r="J47" i="1" s="1"/>
  <c r="L47" i="1" s="1"/>
  <c r="N47" i="1" s="1"/>
  <c r="J46" i="1"/>
  <c r="L46" i="1" s="1"/>
  <c r="N46" i="1" s="1"/>
  <c r="H46" i="1"/>
  <c r="H45" i="1"/>
  <c r="R45" i="1" s="1"/>
  <c r="Q44" i="1"/>
  <c r="P44" i="1"/>
  <c r="P61" i="1" s="1"/>
  <c r="H44" i="1"/>
  <c r="J44" i="1" s="1"/>
  <c r="L44" i="1" s="1"/>
  <c r="N44" i="1" s="1"/>
  <c r="R44" i="1" s="1"/>
  <c r="H43" i="1"/>
  <c r="J43" i="1" s="1"/>
  <c r="L43" i="1" s="1"/>
  <c r="N43" i="1" s="1"/>
  <c r="R43" i="1" s="1"/>
  <c r="Q42" i="1"/>
  <c r="G42" i="1"/>
  <c r="H42" i="1" s="1"/>
  <c r="J42" i="1" s="1"/>
  <c r="L42" i="1" s="1"/>
  <c r="N42" i="1" s="1"/>
  <c r="R42" i="1" s="1"/>
  <c r="H41" i="1"/>
  <c r="J41" i="1" s="1"/>
  <c r="L41" i="1" s="1"/>
  <c r="N41" i="1" s="1"/>
  <c r="R41" i="1" s="1"/>
  <c r="Q40" i="1"/>
  <c r="G40" i="1"/>
  <c r="G61" i="1" s="1"/>
  <c r="Q39" i="1"/>
  <c r="J39" i="1"/>
  <c r="L39" i="1" s="1"/>
  <c r="N39" i="1" s="1"/>
  <c r="R39" i="1" s="1"/>
  <c r="H39" i="1"/>
  <c r="H38" i="1"/>
  <c r="P37" i="1"/>
  <c r="M37" i="1"/>
  <c r="K37" i="1"/>
  <c r="I37" i="1"/>
  <c r="H37" i="1"/>
  <c r="G37" i="1"/>
  <c r="F37" i="1"/>
  <c r="Q36" i="1"/>
  <c r="J36" i="1"/>
  <c r="L36" i="1" s="1"/>
  <c r="N36" i="1" s="1"/>
  <c r="R36" i="1" s="1"/>
  <c r="H36" i="1"/>
  <c r="U36" i="1" s="1"/>
  <c r="H35" i="1"/>
  <c r="J35" i="1" s="1"/>
  <c r="L35" i="1" s="1"/>
  <c r="N35" i="1" s="1"/>
  <c r="Q34" i="1"/>
  <c r="Q37" i="1" s="1"/>
  <c r="H34" i="1"/>
  <c r="J34" i="1" s="1"/>
  <c r="J37" i="1" s="1"/>
  <c r="P33" i="1"/>
  <c r="M33" i="1"/>
  <c r="K33" i="1"/>
  <c r="I33" i="1"/>
  <c r="G33" i="1"/>
  <c r="F33" i="1"/>
  <c r="Q32" i="1"/>
  <c r="H32" i="1"/>
  <c r="J32" i="1" s="1"/>
  <c r="L32" i="1" s="1"/>
  <c r="N32" i="1" s="1"/>
  <c r="R32" i="1" s="1"/>
  <c r="J31" i="1"/>
  <c r="L31" i="1" s="1"/>
  <c r="N31" i="1" s="1"/>
  <c r="H31" i="1"/>
  <c r="Q30" i="1"/>
  <c r="Q33" i="1" s="1"/>
  <c r="H30" i="1"/>
  <c r="H33" i="1" s="1"/>
  <c r="Q29" i="1"/>
  <c r="P29" i="1"/>
  <c r="M29" i="1"/>
  <c r="K29" i="1"/>
  <c r="I29" i="1"/>
  <c r="G29" i="1"/>
  <c r="F29" i="1"/>
  <c r="H28" i="1"/>
  <c r="H29" i="1" s="1"/>
  <c r="K27" i="1"/>
  <c r="I27" i="1"/>
  <c r="G27" i="1"/>
  <c r="F27" i="1"/>
  <c r="Q26" i="1"/>
  <c r="Q27" i="1" s="1"/>
  <c r="P26" i="1"/>
  <c r="P27" i="1" s="1"/>
  <c r="M26" i="1"/>
  <c r="M27" i="1" s="1"/>
  <c r="J26" i="1"/>
  <c r="L26" i="1" s="1"/>
  <c r="N26" i="1" s="1"/>
  <c r="R26" i="1" s="1"/>
  <c r="H25" i="1"/>
  <c r="J25" i="1" s="1"/>
  <c r="L25" i="1" s="1"/>
  <c r="N25" i="1" s="1"/>
  <c r="Q24" i="1"/>
  <c r="H24" i="1"/>
  <c r="J24" i="1" s="1"/>
  <c r="L24" i="1" s="1"/>
  <c r="Q23" i="1"/>
  <c r="P23" i="1"/>
  <c r="M23" i="1"/>
  <c r="K23" i="1"/>
  <c r="I23" i="1"/>
  <c r="G23" i="1"/>
  <c r="F23" i="1"/>
  <c r="H22" i="1"/>
  <c r="H23" i="1" s="1"/>
  <c r="Q21" i="1"/>
  <c r="P21" i="1"/>
  <c r="M21" i="1"/>
  <c r="K21" i="1"/>
  <c r="L20" i="1"/>
  <c r="N20" i="1" s="1"/>
  <c r="Q19" i="1"/>
  <c r="P19" i="1"/>
  <c r="M19" i="1"/>
  <c r="I19" i="1"/>
  <c r="G19" i="1"/>
  <c r="F19" i="1"/>
  <c r="K18" i="1"/>
  <c r="K19" i="1" s="1"/>
  <c r="H18" i="1"/>
  <c r="J18" i="1" s="1"/>
  <c r="Q17" i="1"/>
  <c r="K17" i="1"/>
  <c r="L16" i="1"/>
  <c r="R16" i="1" s="1"/>
  <c r="R17" i="1" s="1"/>
  <c r="Q15" i="1"/>
  <c r="P15" i="1"/>
  <c r="M15" i="1"/>
  <c r="K15" i="1"/>
  <c r="I15" i="1"/>
  <c r="H15" i="1"/>
  <c r="G15" i="1"/>
  <c r="F15" i="1"/>
  <c r="J14" i="1"/>
  <c r="L14" i="1" s="1"/>
  <c r="H14" i="1"/>
  <c r="Q13" i="1"/>
  <c r="P13" i="1"/>
  <c r="M13" i="1"/>
  <c r="K13" i="1"/>
  <c r="I13" i="1"/>
  <c r="G13" i="1"/>
  <c r="F13" i="1"/>
  <c r="H12" i="1"/>
  <c r="H13" i="1" s="1"/>
  <c r="Q11" i="1"/>
  <c r="P11" i="1"/>
  <c r="M11" i="1"/>
  <c r="K11" i="1"/>
  <c r="I11" i="1"/>
  <c r="H11" i="1"/>
  <c r="G11" i="1"/>
  <c r="F11" i="1"/>
  <c r="H10" i="1"/>
  <c r="J10" i="1" s="1"/>
  <c r="L10" i="1" s="1"/>
  <c r="Q9" i="1"/>
  <c r="P9" i="1"/>
  <c r="M9" i="1"/>
  <c r="K9" i="1"/>
  <c r="I9" i="1"/>
  <c r="G9" i="1"/>
  <c r="F9" i="1"/>
  <c r="H8" i="1"/>
  <c r="H9" i="1" s="1"/>
  <c r="Q7" i="1"/>
  <c r="P7" i="1"/>
  <c r="M7" i="1"/>
  <c r="K7" i="1"/>
  <c r="I7" i="1"/>
  <c r="G7" i="1"/>
  <c r="F7" i="1"/>
  <c r="H6" i="1"/>
  <c r="H7" i="1" s="1"/>
  <c r="Q5" i="1"/>
  <c r="P5" i="1"/>
  <c r="M5" i="1"/>
  <c r="K5" i="1"/>
  <c r="I5" i="1"/>
  <c r="G5" i="1"/>
  <c r="F5" i="1"/>
  <c r="F95" i="1" s="1"/>
  <c r="H4" i="1"/>
  <c r="J4" i="1" s="1"/>
  <c r="J5" i="1" s="1"/>
  <c r="N164" i="1" l="1"/>
  <c r="R162" i="1"/>
  <c r="L103" i="1"/>
  <c r="N102" i="1"/>
  <c r="L121" i="1"/>
  <c r="N121" i="1" s="1"/>
  <c r="J8" i="1"/>
  <c r="J9" i="1" s="1"/>
  <c r="R9" i="1" s="1"/>
  <c r="H27" i="1"/>
  <c r="K61" i="1"/>
  <c r="K95" i="1" s="1"/>
  <c r="R63" i="1"/>
  <c r="L78" i="1"/>
  <c r="L80" i="1" s="1"/>
  <c r="P89" i="1"/>
  <c r="H5" i="1"/>
  <c r="H61" i="1"/>
  <c r="M80" i="1"/>
  <c r="Q89" i="1"/>
  <c r="J192" i="1"/>
  <c r="N79" i="1"/>
  <c r="R79" i="1" s="1"/>
  <c r="N106" i="1"/>
  <c r="I114" i="1"/>
  <c r="J164" i="1"/>
  <c r="R181" i="1"/>
  <c r="N192" i="1"/>
  <c r="J30" i="1"/>
  <c r="J33" i="1" s="1"/>
  <c r="Q146" i="1"/>
  <c r="M114" i="1"/>
  <c r="H40" i="1"/>
  <c r="J40" i="1" s="1"/>
  <c r="L40" i="1" s="1"/>
  <c r="N40" i="1" s="1"/>
  <c r="R40" i="1" s="1"/>
  <c r="L92" i="1"/>
  <c r="H122" i="1"/>
  <c r="N150" i="1"/>
  <c r="H210" i="1"/>
  <c r="R5" i="1"/>
  <c r="P95" i="1"/>
  <c r="L11" i="1"/>
  <c r="N10" i="1"/>
  <c r="N11" i="1" s="1"/>
  <c r="R10" i="1"/>
  <c r="L15" i="1"/>
  <c r="N14" i="1"/>
  <c r="N15" i="1" s="1"/>
  <c r="R14" i="1"/>
  <c r="R15" i="1" s="1"/>
  <c r="J19" i="1"/>
  <c r="L18" i="1"/>
  <c r="N21" i="1"/>
  <c r="R20" i="1"/>
  <c r="R21" i="1" s="1"/>
  <c r="L27" i="1"/>
  <c r="N24" i="1"/>
  <c r="R46" i="1"/>
  <c r="R48" i="1"/>
  <c r="N48" i="1"/>
  <c r="N49" i="1"/>
  <c r="R49" i="1"/>
  <c r="N51" i="1"/>
  <c r="R51" i="1"/>
  <c r="J11" i="1"/>
  <c r="R11" i="1" s="1"/>
  <c r="J15" i="1"/>
  <c r="L17" i="1"/>
  <c r="H19" i="1"/>
  <c r="L21" i="1"/>
  <c r="J27" i="1"/>
  <c r="L4" i="1"/>
  <c r="I95" i="1"/>
  <c r="M95" i="1"/>
  <c r="J6" i="1"/>
  <c r="L8" i="1"/>
  <c r="J12" i="1"/>
  <c r="N16" i="1"/>
  <c r="N17" i="1" s="1"/>
  <c r="J22" i="1"/>
  <c r="J28" i="1"/>
  <c r="L34" i="1"/>
  <c r="J38" i="1"/>
  <c r="Q61" i="1"/>
  <c r="Q95" i="1" s="1"/>
  <c r="J45" i="1"/>
  <c r="L45" i="1" s="1"/>
  <c r="N45" i="1" s="1"/>
  <c r="N50" i="1"/>
  <c r="P72" i="1"/>
  <c r="Q72" i="1"/>
  <c r="J73" i="1"/>
  <c r="H75" i="1"/>
  <c r="J77" i="1"/>
  <c r="L77" i="1"/>
  <c r="N77" i="1"/>
  <c r="N78" i="1"/>
  <c r="J82" i="1"/>
  <c r="L81" i="1"/>
  <c r="J89" i="1"/>
  <c r="L83" i="1"/>
  <c r="H106" i="1"/>
  <c r="H114" i="1" s="1"/>
  <c r="J106" i="1"/>
  <c r="L106" i="1"/>
  <c r="G114" i="1"/>
  <c r="K114" i="1"/>
  <c r="H111" i="1"/>
  <c r="J109" i="1"/>
  <c r="Q116" i="1"/>
  <c r="L62" i="1"/>
  <c r="H72" i="1"/>
  <c r="N92" i="1"/>
  <c r="L94" i="1"/>
  <c r="R102" i="1"/>
  <c r="R103" i="1" s="1"/>
  <c r="N103" i="1"/>
  <c r="R106" i="1"/>
  <c r="H108" i="1"/>
  <c r="J107" i="1"/>
  <c r="H113" i="1"/>
  <c r="J112" i="1"/>
  <c r="P113" i="1"/>
  <c r="P114" i="1" s="1"/>
  <c r="J122" i="1"/>
  <c r="R120" i="1"/>
  <c r="R122" i="1" s="1"/>
  <c r="L120" i="1"/>
  <c r="L146" i="1"/>
  <c r="N140" i="1"/>
  <c r="R140" i="1"/>
  <c r="R142" i="1"/>
  <c r="N142" i="1"/>
  <c r="L186" i="1"/>
  <c r="G72" i="1"/>
  <c r="G95" i="1" s="1"/>
  <c r="J68" i="1"/>
  <c r="L68" i="1" s="1"/>
  <c r="N68" i="1" s="1"/>
  <c r="R68" i="1" s="1"/>
  <c r="H80" i="1"/>
  <c r="H89" i="1"/>
  <c r="H94" i="1"/>
  <c r="F114" i="1"/>
  <c r="J103" i="1"/>
  <c r="Q114" i="1"/>
  <c r="N145" i="1"/>
  <c r="R145" i="1"/>
  <c r="N182" i="1"/>
  <c r="N186" i="1" s="1"/>
  <c r="R182" i="1"/>
  <c r="R186" i="1" s="1"/>
  <c r="L126" i="1"/>
  <c r="J127" i="1"/>
  <c r="J131" i="1"/>
  <c r="S127" i="1" s="1"/>
  <c r="J136" i="1"/>
  <c r="H146" i="1"/>
  <c r="P146" i="1"/>
  <c r="N143" i="1"/>
  <c r="N144" i="1"/>
  <c r="K146" i="1"/>
  <c r="R149" i="1"/>
  <c r="R152" i="1" s="1"/>
  <c r="N151" i="1"/>
  <c r="N152" i="1" s="1"/>
  <c r="L164" i="1"/>
  <c r="P186" i="1"/>
  <c r="S175" i="1"/>
  <c r="R184" i="1"/>
  <c r="H186" i="1"/>
  <c r="J186" i="1"/>
  <c r="R190" i="1"/>
  <c r="R192" i="1" s="1"/>
  <c r="H192" i="1"/>
  <c r="L192" i="1"/>
  <c r="J146" i="1"/>
  <c r="J152" i="1"/>
  <c r="L152" i="1"/>
  <c r="J158" i="1"/>
  <c r="L157" i="1"/>
  <c r="R164" i="1"/>
  <c r="J169" i="1"/>
  <c r="L168" i="1"/>
  <c r="L196" i="1"/>
  <c r="J199" i="1"/>
  <c r="L199" i="1" s="1"/>
  <c r="N199" i="1" s="1"/>
  <c r="R199" i="1" s="1"/>
  <c r="H95" i="1" l="1"/>
  <c r="L30" i="1"/>
  <c r="N196" i="1"/>
  <c r="L210" i="1"/>
  <c r="L158" i="1"/>
  <c r="N157" i="1"/>
  <c r="L136" i="1"/>
  <c r="J137" i="1"/>
  <c r="N126" i="1"/>
  <c r="N127" i="1" s="1"/>
  <c r="L127" i="1"/>
  <c r="R146" i="1"/>
  <c r="N94" i="1"/>
  <c r="R92" i="1"/>
  <c r="R94" i="1" s="1"/>
  <c r="L89" i="1"/>
  <c r="N83" i="1"/>
  <c r="R78" i="1"/>
  <c r="R80" i="1" s="1"/>
  <c r="N80" i="1"/>
  <c r="L37" i="1"/>
  <c r="N34" i="1"/>
  <c r="R28" i="1"/>
  <c r="R29" i="1" s="1"/>
  <c r="J29" i="1"/>
  <c r="L28" i="1"/>
  <c r="L9" i="1"/>
  <c r="R8" i="1"/>
  <c r="N8" i="1"/>
  <c r="N9" i="1" s="1"/>
  <c r="L5" i="1"/>
  <c r="R4" i="1"/>
  <c r="N4" i="1"/>
  <c r="N5" i="1" s="1"/>
  <c r="N27" i="1"/>
  <c r="R24" i="1"/>
  <c r="R27" i="1" s="1"/>
  <c r="R18" i="1"/>
  <c r="R19" i="1" s="1"/>
  <c r="L19" i="1"/>
  <c r="N18" i="1"/>
  <c r="N19" i="1" s="1"/>
  <c r="J210" i="1"/>
  <c r="L169" i="1"/>
  <c r="R168" i="1"/>
  <c r="R169" i="1" s="1"/>
  <c r="N168" i="1"/>
  <c r="N169" i="1" s="1"/>
  <c r="J132" i="1"/>
  <c r="L131" i="1"/>
  <c r="N146" i="1"/>
  <c r="L122" i="1"/>
  <c r="N120" i="1"/>
  <c r="N122" i="1" s="1"/>
  <c r="J113" i="1"/>
  <c r="L112" i="1"/>
  <c r="J108" i="1"/>
  <c r="L107" i="1"/>
  <c r="J72" i="1"/>
  <c r="J111" i="1"/>
  <c r="L109" i="1"/>
  <c r="J75" i="1"/>
  <c r="L73" i="1"/>
  <c r="J61" i="1"/>
  <c r="L38" i="1"/>
  <c r="N30" i="1"/>
  <c r="L33" i="1"/>
  <c r="L22" i="1"/>
  <c r="J23" i="1"/>
  <c r="L12" i="1"/>
  <c r="J13" i="1"/>
  <c r="J7" i="1"/>
  <c r="L6" i="1"/>
  <c r="N62" i="1"/>
  <c r="L72" i="1"/>
  <c r="L82" i="1"/>
  <c r="N81" i="1"/>
  <c r="J114" i="1" l="1"/>
  <c r="L29" i="1"/>
  <c r="N28" i="1"/>
  <c r="N29" i="1" s="1"/>
  <c r="N82" i="1"/>
  <c r="R81" i="1"/>
  <c r="R82" i="1" s="1"/>
  <c r="R6" i="1"/>
  <c r="L7" i="1"/>
  <c r="L95" i="1" s="1"/>
  <c r="N6" i="1"/>
  <c r="N7" i="1" s="1"/>
  <c r="S8" i="1"/>
  <c r="L61" i="1"/>
  <c r="N38" i="1"/>
  <c r="N73" i="1"/>
  <c r="L75" i="1"/>
  <c r="L111" i="1"/>
  <c r="N109" i="1"/>
  <c r="L108" i="1"/>
  <c r="N107" i="1"/>
  <c r="L113" i="1"/>
  <c r="N112" i="1"/>
  <c r="L132" i="1"/>
  <c r="R131" i="1"/>
  <c r="R132" i="1" s="1"/>
  <c r="N131" i="1"/>
  <c r="N132" i="1" s="1"/>
  <c r="N37" i="1"/>
  <c r="R34" i="1"/>
  <c r="R37" i="1" s="1"/>
  <c r="N89" i="1"/>
  <c r="R83" i="1"/>
  <c r="R89" i="1" s="1"/>
  <c r="R136" i="1"/>
  <c r="R137" i="1" s="1"/>
  <c r="L137" i="1"/>
  <c r="N136" i="1"/>
  <c r="N137" i="1" s="1"/>
  <c r="N210" i="1"/>
  <c r="R196" i="1"/>
  <c r="R210" i="1" s="1"/>
  <c r="N72" i="1"/>
  <c r="R62" i="1"/>
  <c r="R72" i="1" s="1"/>
  <c r="R7" i="1"/>
  <c r="J95" i="1"/>
  <c r="L13" i="1"/>
  <c r="N12" i="1"/>
  <c r="N13" i="1" s="1"/>
  <c r="R12" i="1"/>
  <c r="R13" i="1" s="1"/>
  <c r="L23" i="1"/>
  <c r="N22" i="1"/>
  <c r="N33" i="1"/>
  <c r="R30" i="1"/>
  <c r="R33" i="1" s="1"/>
  <c r="N158" i="1"/>
  <c r="R157" i="1"/>
  <c r="R158" i="1" s="1"/>
  <c r="N113" i="1" l="1"/>
  <c r="R112" i="1"/>
  <c r="R113" i="1" s="1"/>
  <c r="N108" i="1"/>
  <c r="R107" i="1"/>
  <c r="N111" i="1"/>
  <c r="R109" i="1"/>
  <c r="R111" i="1" s="1"/>
  <c r="N23" i="1"/>
  <c r="R22" i="1"/>
  <c r="R23" i="1" s="1"/>
  <c r="L114" i="1"/>
  <c r="N75" i="1"/>
  <c r="R73" i="1"/>
  <c r="R75" i="1" s="1"/>
  <c r="N61" i="1"/>
  <c r="N95" i="1" s="1"/>
  <c r="R38" i="1"/>
  <c r="R61" i="1" s="1"/>
  <c r="R95" i="1" s="1"/>
  <c r="R108" i="1" l="1"/>
  <c r="R114" i="1" s="1"/>
  <c r="S114" i="1"/>
  <c r="N114" i="1"/>
  <c r="N194" i="1" s="1"/>
</calcChain>
</file>

<file path=xl/sharedStrings.xml><?xml version="1.0" encoding="utf-8"?>
<sst xmlns="http://schemas.openxmlformats.org/spreadsheetml/2006/main" count="512" uniqueCount="240">
  <si>
    <r>
      <t>Расшифровка к Плану финансово-хозяйственной деятельности 
по муниципальным общеобразовательным учреждениям 
(</t>
    </r>
    <r>
      <rPr>
        <b/>
        <sz val="16"/>
        <rFont val="Arial"/>
        <family val="2"/>
        <charset val="204"/>
      </rPr>
      <t>Муниципальное автономное общеобразовательное учреждение "Средняя общеобразовательная школа № 3"</t>
    </r>
    <r>
      <rPr>
        <sz val="16"/>
        <rFont val="Arial"/>
        <family val="2"/>
        <charset val="204"/>
      </rPr>
      <t>) 
на 2023 год</t>
    </r>
  </si>
  <si>
    <t>Аналитический код</t>
  </si>
  <si>
    <t>Код бюджетной классификации</t>
  </si>
  <si>
    <t>КВР</t>
  </si>
  <si>
    <t>КОСГУ</t>
  </si>
  <si>
    <t>Наименование расходов</t>
  </si>
  <si>
    <t>Уточненный план 01.01.2023
руб.</t>
  </si>
  <si>
    <t>Изменения плана ФХД за 1 квартал, руб.</t>
  </si>
  <si>
    <t>Уточненный план 01.04.2023
руб.</t>
  </si>
  <si>
    <t>Изменения плана ФХД за 2 квартал, руб.</t>
  </si>
  <si>
    <t>Уточненный план 01.07.2023
руб.</t>
  </si>
  <si>
    <t>Изменения плана ФХД за 3 квартал, руб.</t>
  </si>
  <si>
    <t>Уточненный план 01.10.2023
руб.</t>
  </si>
  <si>
    <t>Изменения плана ФХД за 4 квартал, руб.</t>
  </si>
  <si>
    <t>План с изменениями, руб.</t>
  </si>
  <si>
    <t>Договор №</t>
  </si>
  <si>
    <t>Сумма заключ. контрактов</t>
  </si>
  <si>
    <t>Оплата по договорам, руб.</t>
  </si>
  <si>
    <t>Остаток , руб.</t>
  </si>
  <si>
    <t>О2</t>
  </si>
  <si>
    <t>906 0702 0620113000 621 241</t>
  </si>
  <si>
    <t>Заработная плата</t>
  </si>
  <si>
    <t>Итого 211 "ЗАРАБОТНАЯ ПЛАТА"</t>
  </si>
  <si>
    <t>М2</t>
  </si>
  <si>
    <t>Пособие за перые 3 дня временной нетрудоспособности</t>
  </si>
  <si>
    <t>Итого 266 "Пособие за первые 3 дня временной нетрудоспособности" местный бюджет</t>
  </si>
  <si>
    <t xml:space="preserve">Проезд на семинары, в командировки, на курсы </t>
  </si>
  <si>
    <t>аванс отчет</t>
  </si>
  <si>
    <t>Итого 226 "Проезд на семинары, в командировки,курсы" местный бюджет</t>
  </si>
  <si>
    <t>Начисления на выплаты по оплате труда 30,2%</t>
  </si>
  <si>
    <t>Итого 213 "НАЧИСЛЕНИЯ НА ОПЛАТУ ТРУДА"</t>
  </si>
  <si>
    <t>Уход за детьми инвалидами</t>
  </si>
  <si>
    <t>МР</t>
  </si>
  <si>
    <t>Выплаты детям инвалидам</t>
  </si>
  <si>
    <t>Итого 266 "Социальные пособия и компенсации персоналу в денежной форме</t>
  </si>
  <si>
    <t>Связь абонентская</t>
  </si>
  <si>
    <t>№06424 от 10.01.2022 (оплата за декабрь 2022); №566001469949 от 07.12.2022</t>
  </si>
  <si>
    <t>Связь поминутная</t>
  </si>
  <si>
    <t>Интернет</t>
  </si>
  <si>
    <t>Итого 221 "Услуги связи" местный бюджет</t>
  </si>
  <si>
    <t xml:space="preserve">Подвоз детей к месту учебы                                                                                                  </t>
  </si>
  <si>
    <t>Итого 222 "Транспортные услуги" местный бюджет</t>
  </si>
  <si>
    <t>Теплоэнергия</t>
  </si>
  <si>
    <t>№050-Т/22 от 18.01.2022 (оплата за декабрь 2022); №050-Т/23 от 31.01.2023</t>
  </si>
  <si>
    <t>ГВС</t>
  </si>
  <si>
    <t xml:space="preserve">Эл. Энергия </t>
  </si>
  <si>
    <t>(оплата за декабрь 2022 47300.2); №ЭЭ0454-68903 от 01.02.2023</t>
  </si>
  <si>
    <t>Итого 223 "Коммунальные услуги" местный бюджет</t>
  </si>
  <si>
    <t>Водоснабжение</t>
  </si>
  <si>
    <t>№ 454-В/22 от 18.01.2022 (оплата за декабрь 2022); №454-В/23 от 16.01.2023</t>
  </si>
  <si>
    <t>Водоотведение</t>
  </si>
  <si>
    <t>Услуга по сбору ,вывозу, утилизации (захоронения) твердых бытовых отходов</t>
  </si>
  <si>
    <t>№РФ03КЩ0315002732 от 06.02.2023</t>
  </si>
  <si>
    <t>1350 за декабрь Вком</t>
  </si>
  <si>
    <t>Акарицидная обработка от клеща</t>
  </si>
  <si>
    <t>№133 от 12.01.2023</t>
  </si>
  <si>
    <t>Определение объекта на заселенность грызунами</t>
  </si>
  <si>
    <t>Определение объекта на заселенность синатропными насекомыми</t>
  </si>
  <si>
    <t>Обследование территории на заклещевленность</t>
  </si>
  <si>
    <t>Дезинсекция против тараканов</t>
  </si>
  <si>
    <t>Дератизационные работы на открытых территориях с приготовлением ядоприманки</t>
  </si>
  <si>
    <t>Дератизация помещений разовая</t>
  </si>
  <si>
    <t>Заключительная дезинфекция</t>
  </si>
  <si>
    <t>Перезарядка огнетушителей</t>
  </si>
  <si>
    <t>№27 от 17.10.2023</t>
  </si>
  <si>
    <t>с соут</t>
  </si>
  <si>
    <t>Обслуживание огнетушителей</t>
  </si>
  <si>
    <t>Поверка приборов учёта тепловой энергии и теплоносителя, ХВС, ГВС, электроэнергии</t>
  </si>
  <si>
    <t>Испытание диэлектрических перчаток</t>
  </si>
  <si>
    <t>Испытание наружных пожарных лестниц</t>
  </si>
  <si>
    <t>Испытание лестниц-стремянок</t>
  </si>
  <si>
    <t>Техническое и аварийное обслуживание внутренних инженерных сетей и электрических сетей</t>
  </si>
  <si>
    <t>№3 от 10.01.2022 (оплата за декабрь 2022); №3 от 09.01.2023</t>
  </si>
  <si>
    <t>Технический мониторинг и обслуживание ОС "Стрелец-мониторинг"</t>
  </si>
  <si>
    <t>№432-22-ТМО от 10.01.2022 (оплата за декабрь 2022); №921-23-ТМО от 09.01.2023</t>
  </si>
  <si>
    <t>907 0702 0620113000 621 241</t>
  </si>
  <si>
    <t>Огнезащитная обработка деревянных конструкций</t>
  </si>
  <si>
    <t>Проведение поверки приборов учета</t>
  </si>
  <si>
    <t>№12/23 ПП от 16.05.2023</t>
  </si>
  <si>
    <t>с СОУТ</t>
  </si>
  <si>
    <t>908 0702 0620113000 621 241</t>
  </si>
  <si>
    <t>Технологическое обеспечение работоспособности оконечного уст-ва системы передачи извещений</t>
  </si>
  <si>
    <t>доп соглашение №2 от 17.05.2023 к дог №6761N00343 от 09.01.2023</t>
  </si>
  <si>
    <t>Обслуживание пожарных кранов</t>
  </si>
  <si>
    <t>№К50-23 от 18.05.2023</t>
  </si>
  <si>
    <t>Уборка снега с крыш, расчистка территории</t>
  </si>
  <si>
    <t>Ремонт тепловычислителя</t>
  </si>
  <si>
    <t>Проверка вентиляционных и дымовых каналов</t>
  </si>
  <si>
    <t>Итого 225 "Работы и услуги по содержанию имущества" местный бюджет</t>
  </si>
  <si>
    <t>Гигиеническое обучение сотрудников в Роспотребнадзоре</t>
  </si>
  <si>
    <t>№545 от 10.02.2023; 1046 от 02.05.2023</t>
  </si>
  <si>
    <t>Медосмотр декретированных работников</t>
  </si>
  <si>
    <t>№35/50 от 21.02.2023; доп согл к доп №36/50 от 28.04.2023; №37/65 о 21.02.2023</t>
  </si>
  <si>
    <t>Паразитолог.обследование детей</t>
  </si>
  <si>
    <t>Паразитолог.обследование сотрудников</t>
  </si>
  <si>
    <t>на гигиенич обуч</t>
  </si>
  <si>
    <t>Обучение сотрудников по ГО и ЧС</t>
  </si>
  <si>
    <t xml:space="preserve">Оплата услуги за предоставление сведений из ЕГРН </t>
  </si>
  <si>
    <t>СОУТ</t>
  </si>
  <si>
    <t>№ 0862300039923000040-10 от 17.03.2023</t>
  </si>
  <si>
    <t>909 0702 0620113000 621 241</t>
  </si>
  <si>
    <t>Обучение сотрудников по ОТ</t>
  </si>
  <si>
    <t>№У-116/6 от 29.05.2023; №0862300039923000135-14 от 23.05.2023; №0862300039923000142-14 от 26.05.2023</t>
  </si>
  <si>
    <t>Услуга питания (ГПД)</t>
  </si>
  <si>
    <t xml:space="preserve">СЭС производственный контроль  </t>
  </si>
  <si>
    <t>№432 от 26.01.2023; №420 от 26.01.2023</t>
  </si>
  <si>
    <t>Итого 226 "Прочие работы, услуги"местный бюджет</t>
  </si>
  <si>
    <t>Пособия по социальной помощи населению (1% от текущих  расходов без ФОТ с начислениями). Фонд  всеобуча</t>
  </si>
  <si>
    <t>Семейное образование</t>
  </si>
  <si>
    <t>Итого 226 "Социальное обеспечение" местный бюджет</t>
  </si>
  <si>
    <t>Тонометр</t>
  </si>
  <si>
    <t xml:space="preserve">М2 </t>
  </si>
  <si>
    <t xml:space="preserve">Итого 310 "Увеличение стоимости основных средств местный бюджет </t>
  </si>
  <si>
    <t>Вакцина для сотрудников</t>
  </si>
  <si>
    <t>№76 от 14.02.2023</t>
  </si>
  <si>
    <t>Медицинские товары</t>
  </si>
  <si>
    <t>№КБ-31 от 16.02.2023; №КБ от 11.09.2023</t>
  </si>
  <si>
    <t>Итого 341 местный бюджет</t>
  </si>
  <si>
    <t>Приобретение линолеума</t>
  </si>
  <si>
    <t>№28/0723 от 28.07.2023</t>
  </si>
  <si>
    <t>Итого 344 "Увеличение стоимости строительных материалов" местный бюджет</t>
  </si>
  <si>
    <t xml:space="preserve">Моющие </t>
  </si>
  <si>
    <t>№0862300039923000103-17 от 02.05.2023; №0862300039923000090-18 от 24.04.2023; №0862300039923000096-12 от 25.04.2023; №КБ-207 от 01.11.2023</t>
  </si>
  <si>
    <t>Хозтовары, лампа ультрафиолетлвая</t>
  </si>
  <si>
    <t>№7 от 10.02.2023; №КБ-31 от 16.02.2023; №0862300039923000117-9 от 15.05.2023; №0862300039923000106-6 от 05.05.2023</t>
  </si>
  <si>
    <t>Приобретение масок медицинских и лампы ультрафиолетовой</t>
  </si>
  <si>
    <t>Информационный стенд</t>
  </si>
  <si>
    <t>Создание резерва финансовых средств ГО и ЧС</t>
  </si>
  <si>
    <t>Личная карточка обучающегося</t>
  </si>
  <si>
    <t>Итого 346 "Увеличение стоимости прочих материальных запасов" местный бюджет</t>
  </si>
  <si>
    <t>Штраф "Роспотребнадзор"</t>
  </si>
  <si>
    <t>Итого 295 местный бюджет</t>
  </si>
  <si>
    <t>Пени (ПАО Ростелеком), пени за мусор</t>
  </si>
  <si>
    <t xml:space="preserve">Госпошлина </t>
  </si>
  <si>
    <t>оплатили 06.10.</t>
  </si>
  <si>
    <t>Итого 293 местный бюджет</t>
  </si>
  <si>
    <t>ИТОГО МУНИЦИПАЛЬНОЕ ЗАДАНИЕ</t>
  </si>
  <si>
    <t>УЧЕБНЫЕ РАСХОДЫ 906.3.004</t>
  </si>
  <si>
    <t>иные</t>
  </si>
  <si>
    <t>Ремонт компьютерной техники, заправка картриджей</t>
  </si>
  <si>
    <t>№045 от 01.02.2023</t>
  </si>
  <si>
    <t>Итого 225 "Работы и услуги по содержанию имущества"</t>
  </si>
  <si>
    <t>Программное обеспечение</t>
  </si>
  <si>
    <t>№Л-744 от 07.11.2023</t>
  </si>
  <si>
    <t>Курсы повышения квалификации</t>
  </si>
  <si>
    <t>№439764 от 06.06.2023;№558956 от 19.09.2023; №607440 от 16.11.2023</t>
  </si>
  <si>
    <t>Итого 226 "Прочие работы, услуги"</t>
  </si>
  <si>
    <t>Учебники</t>
  </si>
  <si>
    <t>№1от 28.04.2023</t>
  </si>
  <si>
    <t>Итого 310 "Увеличение стоимости основных средств"</t>
  </si>
  <si>
    <t>Приобретение бумаги</t>
  </si>
  <si>
    <t>№0862300039923000202 от 17.07.2023</t>
  </si>
  <si>
    <t>Приобретение канцтоваров</t>
  </si>
  <si>
    <t>Итого 346 "Увеличение стоимости материальных запасов"</t>
  </si>
  <si>
    <t>Аттестаты</t>
  </si>
  <si>
    <t>№0862300039923000074-3 от 11.04.2023; №086230039923000073-2 от 11.04.2023; №293943 от 13.06.2023</t>
  </si>
  <si>
    <t>Итого 349 "Увеличение стимости материальных запасов однократного применения"</t>
  </si>
  <si>
    <t>Итого :</t>
  </si>
  <si>
    <t>Классное руководство 906.4.53030</t>
  </si>
  <si>
    <t>906 0702 0620853030 622 241</t>
  </si>
  <si>
    <t>Начисления на выплаты по оплате труда</t>
  </si>
  <si>
    <t>Итого:</t>
  </si>
  <si>
    <t>"Горячее питание" фед.бюджет 906.4.53040</t>
  </si>
  <si>
    <t>Питание детей</t>
  </si>
  <si>
    <t>"Горячее питание" обл.бюджет 906.3.005</t>
  </si>
  <si>
    <t>"Создание в образовательных организациях условий для осуществления присмотра и ухода за детьми в ГПД" мест.бюджет 906.1.007</t>
  </si>
  <si>
    <t>Создание в образовательных организациях условий для осуществления присмотра и ухода за детьми в ГПД</t>
  </si>
  <si>
    <t>№3 от 09.01.2023</t>
  </si>
  <si>
    <t>Антитеррор 906.1.010</t>
  </si>
  <si>
    <t xml:space="preserve">иные </t>
  </si>
  <si>
    <t>906 0605 0640613000 622 241</t>
  </si>
  <si>
    <t>906.1.010 "Обслуживание технических средств охраны, тревожной сигнализации, систем видеонаблюдения"</t>
  </si>
  <si>
    <t xml:space="preserve">№6761N00343 от 09.01.2023; </t>
  </si>
  <si>
    <t>906.1.010 "Аренда оборудования ТСО" (ФГУП "Охрана Росгвардии")</t>
  </si>
  <si>
    <t>906.1.010 "Услуги по экстренному прибытию группы задержания на объект"</t>
  </si>
  <si>
    <t>№195 от 09.01.2023</t>
  </si>
  <si>
    <t xml:space="preserve">Разработка проектной документации </t>
  </si>
  <si>
    <t>№7ПР/2023 от 22.05.2023; №8/ПР/2023 от 22.05.2023</t>
  </si>
  <si>
    <t>Поставка и монтаж технических средств охраны</t>
  </si>
  <si>
    <t>№6761М00042 от 06.09.2023; №6761М00041 от 06.09.2023</t>
  </si>
  <si>
    <t>906.1.010 Монтаж и пуско-наладка оповещения ГО и ЧС</t>
  </si>
  <si>
    <t>№0862300039923000236 от 10.09.2023</t>
  </si>
  <si>
    <t xml:space="preserve">"Укрепление материально-технической базы" 906.1.001 </t>
  </si>
  <si>
    <t>Установка окон</t>
  </si>
  <si>
    <t>№ 0862300039923000094-1 от 25.04.2023; №0862300039923000028-1 от 05.03.2023</t>
  </si>
  <si>
    <t>907 0605 0640613000 622 241</t>
  </si>
  <si>
    <t>244</t>
  </si>
  <si>
    <t>346</t>
  </si>
  <si>
    <t>Москитные сетки</t>
  </si>
  <si>
    <t>№3464 от 17.07.2023</t>
  </si>
  <si>
    <t>Таблицы Брайля</t>
  </si>
  <si>
    <t>№122 от 06.06.2023</t>
  </si>
  <si>
    <t>"Обрезка деревьев" 906.1.019</t>
  </si>
  <si>
    <t>Выполнение работ по обрезке деревьев</t>
  </si>
  <si>
    <t>"Трудовые бригады" 906.1.002</t>
  </si>
  <si>
    <t>АО "Полиметалл" 906.1.014</t>
  </si>
  <si>
    <t>906 0702 0670623000 622 241</t>
  </si>
  <si>
    <t>Замена дверей</t>
  </si>
  <si>
    <t>№0862300039923000197 от 10.07.2023</t>
  </si>
  <si>
    <t xml:space="preserve">Организация отдыха детей в каникулярное время </t>
  </si>
  <si>
    <t xml:space="preserve">внебюджет </t>
  </si>
  <si>
    <t>Налог на доходы УСН</t>
  </si>
  <si>
    <t xml:space="preserve">Услуги по питанию </t>
  </si>
  <si>
    <t>№1 от 29.05.2023 (1.2 смена)</t>
  </si>
  <si>
    <t>906.1.006</t>
  </si>
  <si>
    <t>906 0707 06402S5600 622 241</t>
  </si>
  <si>
    <t>Услуги по питанию</t>
  </si>
  <si>
    <t>906.3.006</t>
  </si>
  <si>
    <t>906 0707 0640245600 622 241</t>
  </si>
  <si>
    <t xml:space="preserve">ФОТ </t>
  </si>
  <si>
    <t xml:space="preserve">Начисления на оплату труда </t>
  </si>
  <si>
    <t xml:space="preserve">Культмассовые мероприятия </t>
  </si>
  <si>
    <t>№5 от 09.06.2023; №9/2023 от 01.06.2023; №11/2023 от 01.07.2023; №8 от 05.07.2023</t>
  </si>
  <si>
    <t xml:space="preserve">Медикаменты </t>
  </si>
  <si>
    <t>№32 от 14.06.2023; №34 от 10.07.2023</t>
  </si>
  <si>
    <t>Канцтовары</t>
  </si>
  <si>
    <t>№16 от 12.07.2023</t>
  </si>
  <si>
    <t>Игрушки</t>
  </si>
  <si>
    <t>Моющие</t>
  </si>
  <si>
    <t>№17 от 12.07.2023</t>
  </si>
  <si>
    <t>Хозтовары</t>
  </si>
  <si>
    <t xml:space="preserve">Поезд здоровья </t>
  </si>
  <si>
    <t>906.3.009</t>
  </si>
  <si>
    <t>Приобретение 3х путевок в санаторные оздоровительные лагеря круглогодичного действия</t>
  </si>
  <si>
    <t>№3 от 03.07.2023; №3 от 30.06.2023</t>
  </si>
  <si>
    <t xml:space="preserve">Приобретение путевок </t>
  </si>
  <si>
    <t>Внебюджет</t>
  </si>
  <si>
    <t>внебюджет</t>
  </si>
  <si>
    <t>Вывоз ТКО (Вком)</t>
  </si>
  <si>
    <t>оплата за декабрь 2022</t>
  </si>
  <si>
    <t>Коммандировочные расходы Деньгиной А.В. (Вком)</t>
  </si>
  <si>
    <t>Услуга Интернет (Вком)</t>
  </si>
  <si>
    <t>№84200040 от 01.01.2023</t>
  </si>
  <si>
    <t>Услуга питания ГПД (ГПД)</t>
  </si>
  <si>
    <t>Проезд в клмандировку (Вком)</t>
  </si>
  <si>
    <t>Приобретение линолеума (ЦП мтб)</t>
  </si>
  <si>
    <t>глава согласовал</t>
  </si>
  <si>
    <t>пени за ТКО</t>
  </si>
  <si>
    <t>Итого по в/б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</si>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</sst>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_ ;[Red]\-0.0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6"/>
      <color rgb="FF0000FF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rgb="FF9D27A9"/>
      <name val="Arial"/>
      <family val="2"/>
      <charset val="204"/>
    </font>
    <font>
      <b/>
      <sz val="12"/>
      <color rgb="FF9D27A9"/>
      <name val="Arial"/>
      <family val="2"/>
      <charset val="204"/>
    </font>
    <font>
      <sz val="16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22"/>
      <name val="Arial"/>
      <family val="2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340">
    <xf numFmtId="0" fontId="0" fillId="0" borderId="0" xfId="0"/>
    <xf numFmtId="0" fontId="5" fillId="0" borderId="0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4" fontId="8" fillId="4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vertical="center"/>
    </xf>
    <xf numFmtId="0" fontId="9" fillId="6" borderId="4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left" vertical="center" wrapText="1"/>
    </xf>
    <xf numFmtId="4" fontId="9" fillId="6" borderId="4" xfId="0" applyNumberFormat="1" applyFont="1" applyFill="1" applyBorder="1" applyAlignment="1">
      <alignment horizontal="center" vertical="center"/>
    </xf>
    <xf numFmtId="4" fontId="9" fillId="6" borderId="4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left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49" fontId="12" fillId="6" borderId="4" xfId="0" applyNumberFormat="1" applyFont="1" applyFill="1" applyBorder="1" applyAlignment="1">
      <alignment vertical="center"/>
    </xf>
    <xf numFmtId="0" fontId="12" fillId="6" borderId="4" xfId="2" applyFont="1" applyFill="1" applyBorder="1" applyAlignment="1">
      <alignment horizontal="center" vertical="center"/>
    </xf>
    <xf numFmtId="0" fontId="12" fillId="6" borderId="4" xfId="2" applyFont="1" applyFill="1" applyBorder="1" applyAlignment="1">
      <alignment horizontal="left" vertical="center" wrapText="1"/>
    </xf>
    <xf numFmtId="4" fontId="12" fillId="6" borderId="4" xfId="0" applyNumberFormat="1" applyFont="1" applyFill="1" applyBorder="1" applyAlignment="1">
      <alignment horizontal="center" vertical="center"/>
    </xf>
    <xf numFmtId="4" fontId="12" fillId="6" borderId="4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left" vertical="center" wrapText="1"/>
    </xf>
    <xf numFmtId="4" fontId="8" fillId="5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center" vertical="center"/>
    </xf>
    <xf numFmtId="4" fontId="15" fillId="5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left" vertical="center"/>
    </xf>
    <xf numFmtId="4" fontId="15" fillId="3" borderId="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6" borderId="4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vertical="center" wrapText="1"/>
    </xf>
    <xf numFmtId="4" fontId="17" fillId="6" borderId="4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2" applyFont="1" applyFill="1" applyBorder="1" applyAlignment="1">
      <alignment horizontal="left" vertical="center" wrapText="1"/>
    </xf>
    <xf numFmtId="4" fontId="8" fillId="5" borderId="4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left" vertical="center" wrapText="1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left" vertical="center"/>
    </xf>
    <xf numFmtId="4" fontId="20" fillId="3" borderId="4" xfId="0" applyNumberFormat="1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49" fontId="21" fillId="6" borderId="4" xfId="0" applyNumberFormat="1" applyFont="1" applyFill="1" applyBorder="1" applyAlignment="1">
      <alignment vertical="center"/>
    </xf>
    <xf numFmtId="0" fontId="21" fillId="6" borderId="4" xfId="2" applyFont="1" applyFill="1" applyBorder="1" applyAlignment="1">
      <alignment horizontal="center" vertical="center"/>
    </xf>
    <xf numFmtId="0" fontId="21" fillId="6" borderId="4" xfId="2" applyFont="1" applyFill="1" applyBorder="1" applyAlignment="1">
      <alignment horizontal="left" vertical="center" wrapText="1"/>
    </xf>
    <xf numFmtId="4" fontId="21" fillId="6" borderId="4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11" fillId="0" borderId="4" xfId="2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9" fontId="17" fillId="6" borderId="4" xfId="0" applyNumberFormat="1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left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4" fontId="11" fillId="7" borderId="0" xfId="0" applyNumberFormat="1" applyFont="1" applyFill="1" applyBorder="1" applyAlignment="1">
      <alignment vertical="center"/>
    </xf>
    <xf numFmtId="49" fontId="17" fillId="6" borderId="4" xfId="0" applyNumberFormat="1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left" vertical="center" wrapText="1"/>
    </xf>
    <xf numFmtId="4" fontId="11" fillId="5" borderId="4" xfId="0" applyNumberFormat="1" applyFont="1" applyFill="1" applyBorder="1" applyAlignment="1">
      <alignment horizontal="left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left" vertical="center"/>
    </xf>
    <xf numFmtId="4" fontId="23" fillId="0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left" vertical="center" wrapText="1"/>
    </xf>
    <xf numFmtId="4" fontId="23" fillId="3" borderId="4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23" fillId="5" borderId="4" xfId="0" applyNumberFormat="1" applyFont="1" applyFill="1" applyBorder="1" applyAlignment="1">
      <alignment horizontal="center" vertical="center"/>
    </xf>
    <xf numFmtId="4" fontId="23" fillId="7" borderId="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" fontId="18" fillId="0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center" vertical="center"/>
    </xf>
    <xf numFmtId="49" fontId="18" fillId="6" borderId="4" xfId="0" applyNumberFormat="1" applyFont="1" applyFill="1" applyBorder="1" applyAlignment="1">
      <alignment vertical="center"/>
    </xf>
    <xf numFmtId="4" fontId="18" fillId="6" borderId="4" xfId="0" applyNumberFormat="1" applyFont="1" applyFill="1" applyBorder="1" applyAlignment="1">
      <alignment horizontal="center" vertical="center"/>
    </xf>
    <xf numFmtId="4" fontId="18" fillId="6" borderId="4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1" fillId="0" borderId="8" xfId="2" applyFont="1" applyFill="1" applyBorder="1" applyAlignment="1">
      <alignment vertical="center" wrapText="1"/>
    </xf>
    <xf numFmtId="0" fontId="18" fillId="6" borderId="8" xfId="2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8" fillId="6" borderId="5" xfId="2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vertical="center"/>
    </xf>
    <xf numFmtId="0" fontId="11" fillId="0" borderId="5" xfId="2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left" vertical="center"/>
    </xf>
    <xf numFmtId="4" fontId="11" fillId="3" borderId="5" xfId="0" applyNumberFormat="1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49" fontId="18" fillId="6" borderId="5" xfId="0" applyNumberFormat="1" applyFont="1" applyFill="1" applyBorder="1" applyAlignment="1">
      <alignment vertical="center"/>
    </xf>
    <xf numFmtId="0" fontId="18" fillId="6" borderId="5" xfId="2" applyFont="1" applyFill="1" applyBorder="1" applyAlignment="1">
      <alignment horizontal="left" vertical="center" wrapText="1"/>
    </xf>
    <xf numFmtId="4" fontId="18" fillId="6" borderId="5" xfId="0" applyNumberFormat="1" applyFont="1" applyFill="1" applyBorder="1" applyAlignment="1">
      <alignment horizontal="center" vertical="center"/>
    </xf>
    <xf numFmtId="4" fontId="18" fillId="6" borderId="5" xfId="0" applyNumberFormat="1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left" vertical="center" wrapText="1"/>
    </xf>
    <xf numFmtId="4" fontId="18" fillId="8" borderId="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25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vertical="center"/>
    </xf>
    <xf numFmtId="0" fontId="11" fillId="0" borderId="4" xfId="2" applyFont="1" applyFill="1" applyBorder="1" applyAlignment="1">
      <alignment horizontal="left" vertical="center"/>
    </xf>
    <xf numFmtId="4" fontId="23" fillId="0" borderId="4" xfId="1" applyNumberFormat="1" applyFont="1" applyFill="1" applyBorder="1" applyAlignment="1">
      <alignment horizontal="center" vertical="center"/>
    </xf>
    <xf numFmtId="4" fontId="23" fillId="5" borderId="4" xfId="1" applyNumberFormat="1" applyFont="1" applyFill="1" applyBorder="1" applyAlignment="1">
      <alignment horizontal="center" vertical="center"/>
    </xf>
    <xf numFmtId="4" fontId="23" fillId="3" borderId="4" xfId="1" applyNumberFormat="1" applyFont="1" applyFill="1" applyBorder="1" applyAlignment="1">
      <alignment horizontal="center" vertical="center"/>
    </xf>
    <xf numFmtId="4" fontId="17" fillId="10" borderId="4" xfId="1" applyNumberFormat="1" applyFont="1" applyFill="1" applyBorder="1" applyAlignment="1">
      <alignment horizontal="center" vertical="center"/>
    </xf>
    <xf numFmtId="4" fontId="17" fillId="10" borderId="4" xfId="1" applyNumberFormat="1" applyFont="1" applyFill="1" applyBorder="1" applyAlignment="1">
      <alignment horizontal="left" vertical="center"/>
    </xf>
    <xf numFmtId="4" fontId="17" fillId="10" borderId="4" xfId="0" applyNumberFormat="1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vertical="center"/>
    </xf>
    <xf numFmtId="4" fontId="23" fillId="0" borderId="4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center"/>
    </xf>
    <xf numFmtId="4" fontId="23" fillId="0" borderId="5" xfId="1" applyNumberFormat="1" applyFont="1" applyFill="1" applyBorder="1" applyAlignment="1">
      <alignment horizontal="center" vertical="center"/>
    </xf>
    <xf numFmtId="4" fontId="23" fillId="5" borderId="5" xfId="1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left" vertical="center" wrapText="1"/>
    </xf>
    <xf numFmtId="4" fontId="23" fillId="3" borderId="5" xfId="1" applyNumberFormat="1" applyFont="1" applyFill="1" applyBorder="1" applyAlignment="1">
      <alignment horizontal="center" vertical="center"/>
    </xf>
    <xf numFmtId="4" fontId="17" fillId="9" borderId="4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3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7" fillId="10" borderId="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4" fontId="23" fillId="0" borderId="0" xfId="1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4" fontId="17" fillId="0" borderId="0" xfId="1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4" fontId="15" fillId="0" borderId="4" xfId="1" applyNumberFormat="1" applyFont="1" applyFill="1" applyBorder="1" applyAlignment="1">
      <alignment horizontal="center" vertical="center"/>
    </xf>
    <xf numFmtId="4" fontId="15" fillId="5" borderId="4" xfId="1" applyNumberFormat="1" applyFont="1" applyFill="1" applyBorder="1" applyAlignment="1">
      <alignment horizontal="center" vertical="center"/>
    </xf>
    <xf numFmtId="4" fontId="15" fillId="3" borderId="4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vertical="center" wrapText="1"/>
    </xf>
    <xf numFmtId="43" fontId="15" fillId="0" borderId="4" xfId="1" applyFont="1" applyFill="1" applyBorder="1" applyAlignment="1">
      <alignment vertical="center"/>
    </xf>
    <xf numFmtId="43" fontId="15" fillId="0" borderId="4" xfId="1" applyFont="1" applyFill="1" applyBorder="1" applyAlignment="1">
      <alignment horizontal="left" vertical="center" wrapText="1"/>
    </xf>
    <xf numFmtId="43" fontId="15" fillId="3" borderId="4" xfId="1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43" fontId="12" fillId="0" borderId="4" xfId="1" applyFont="1" applyFill="1" applyBorder="1" applyAlignment="1">
      <alignment horizontal="center" vertical="center"/>
    </xf>
    <xf numFmtId="43" fontId="15" fillId="0" borderId="4" xfId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center" vertical="center"/>
    </xf>
    <xf numFmtId="43" fontId="15" fillId="0" borderId="4" xfId="1" applyFont="1" applyFill="1" applyBorder="1" applyAlignment="1">
      <alignment horizontal="right" vertical="center"/>
    </xf>
    <xf numFmtId="43" fontId="15" fillId="3" borderId="4" xfId="1" applyFont="1" applyFill="1" applyBorder="1" applyAlignment="1">
      <alignment horizontal="right" vertical="center"/>
    </xf>
    <xf numFmtId="43" fontId="12" fillId="0" borderId="0" xfId="1" applyFont="1" applyFill="1" applyBorder="1" applyAlignment="1">
      <alignment vertical="center"/>
    </xf>
    <xf numFmtId="43" fontId="12" fillId="0" borderId="8" xfId="1" applyFont="1" applyFill="1" applyBorder="1" applyAlignment="1">
      <alignment horizontal="center" vertical="center"/>
    </xf>
    <xf numFmtId="43" fontId="17" fillId="10" borderId="4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vertical="center"/>
    </xf>
    <xf numFmtId="43" fontId="23" fillId="0" borderId="4" xfId="1" applyFont="1" applyFill="1" applyBorder="1" applyAlignment="1">
      <alignment vertical="center"/>
    </xf>
    <xf numFmtId="43" fontId="23" fillId="0" borderId="4" xfId="1" applyFont="1" applyFill="1" applyBorder="1" applyAlignment="1">
      <alignment horizontal="right" vertical="center"/>
    </xf>
    <xf numFmtId="43" fontId="23" fillId="5" borderId="4" xfId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43" fontId="23" fillId="3" borderId="4" xfId="1" applyFont="1" applyFill="1" applyBorder="1" applyAlignment="1">
      <alignment horizontal="right" vertical="center"/>
    </xf>
    <xf numFmtId="43" fontId="17" fillId="10" borderId="4" xfId="1" applyFont="1" applyFill="1" applyBorder="1" applyAlignment="1">
      <alignment vertical="center"/>
    </xf>
    <xf numFmtId="43" fontId="17" fillId="10" borderId="4" xfId="1" applyFont="1" applyFill="1" applyBorder="1" applyAlignment="1">
      <alignment horizontal="right" vertical="center"/>
    </xf>
    <xf numFmtId="0" fontId="17" fillId="1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center"/>
    </xf>
    <xf numFmtId="43" fontId="23" fillId="0" borderId="4" xfId="0" applyNumberFormat="1" applyFont="1" applyFill="1" applyBorder="1" applyAlignment="1">
      <alignment vertical="center"/>
    </xf>
    <xf numFmtId="43" fontId="23" fillId="0" borderId="4" xfId="1" applyFont="1" applyFill="1" applyBorder="1" applyAlignment="1">
      <alignment horizontal="left" vertical="center"/>
    </xf>
    <xf numFmtId="0" fontId="17" fillId="10" borderId="4" xfId="0" applyFont="1" applyFill="1" applyBorder="1" applyAlignment="1">
      <alignment vertical="center"/>
    </xf>
    <xf numFmtId="43" fontId="17" fillId="10" borderId="4" xfId="1" applyFont="1" applyFill="1" applyBorder="1" applyAlignment="1">
      <alignment horizontal="left" vertical="center"/>
    </xf>
    <xf numFmtId="4" fontId="23" fillId="0" borderId="4" xfId="1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vertical="center"/>
    </xf>
    <xf numFmtId="43" fontId="25" fillId="0" borderId="0" xfId="0" applyNumberFormat="1" applyFont="1" applyFill="1" applyBorder="1" applyAlignment="1">
      <alignment vertical="center"/>
    </xf>
    <xf numFmtId="4" fontId="11" fillId="0" borderId="4" xfId="1" applyNumberFormat="1" applyFont="1" applyFill="1" applyBorder="1" applyAlignment="1">
      <alignment horizontal="center" vertical="center"/>
    </xf>
    <xf numFmtId="4" fontId="11" fillId="5" borderId="4" xfId="1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left" vertical="center"/>
    </xf>
    <xf numFmtId="4" fontId="8" fillId="0" borderId="4" xfId="1" applyNumberFormat="1" applyFont="1" applyFill="1" applyBorder="1" applyAlignment="1">
      <alignment horizontal="center" vertical="center"/>
    </xf>
    <xf numFmtId="4" fontId="8" fillId="5" borderId="4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3" fontId="23" fillId="5" borderId="4" xfId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wrapText="1"/>
    </xf>
    <xf numFmtId="43" fontId="23" fillId="3" borderId="4" xfId="1" applyFont="1" applyFill="1" applyBorder="1" applyAlignment="1">
      <alignment vertical="center"/>
    </xf>
    <xf numFmtId="0" fontId="15" fillId="0" borderId="4" xfId="2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3" fontId="15" fillId="7" borderId="4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12" fillId="10" borderId="4" xfId="1" applyFont="1" applyFill="1" applyBorder="1" applyAlignment="1">
      <alignment vertical="center"/>
    </xf>
    <xf numFmtId="0" fontId="12" fillId="10" borderId="4" xfId="0" applyFont="1" applyFill="1" applyBorder="1" applyAlignment="1">
      <alignment horizontal="left" vertical="center"/>
    </xf>
    <xf numFmtId="43" fontId="17" fillId="11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4" fontId="23" fillId="0" borderId="4" xfId="1" applyNumberFormat="1" applyFont="1" applyFill="1" applyBorder="1" applyAlignment="1">
      <alignment vertical="center"/>
    </xf>
    <xf numFmtId="4" fontId="23" fillId="5" borderId="4" xfId="0" applyNumberFormat="1" applyFont="1" applyFill="1" applyBorder="1" applyAlignment="1">
      <alignment horizontal="left" vertical="center" wrapText="1"/>
    </xf>
    <xf numFmtId="4" fontId="23" fillId="5" borderId="4" xfId="1" applyNumberFormat="1" applyFont="1" applyFill="1" applyBorder="1" applyAlignment="1">
      <alignment vertical="center"/>
    </xf>
    <xf numFmtId="49" fontId="23" fillId="0" borderId="4" xfId="0" applyNumberFormat="1" applyFont="1" applyFill="1" applyBorder="1"/>
    <xf numFmtId="0" fontId="11" fillId="0" borderId="4" xfId="2" applyFont="1" applyFill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4" fontId="23" fillId="5" borderId="4" xfId="0" applyNumberFormat="1" applyFont="1" applyFill="1" applyBorder="1" applyAlignment="1">
      <alignment horizontal="left" vertical="center"/>
    </xf>
    <xf numFmtId="0" fontId="11" fillId="0" borderId="4" xfId="2" applyFont="1" applyFill="1" applyBorder="1" applyAlignment="1">
      <alignment vertical="center" wrapText="1"/>
    </xf>
    <xf numFmtId="4" fontId="17" fillId="10" borderId="4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4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25" fillId="10" borderId="8" xfId="0" applyFont="1" applyFill="1" applyBorder="1" applyAlignment="1">
      <alignment horizontal="right" vertical="center"/>
    </xf>
    <xf numFmtId="0" fontId="25" fillId="10" borderId="9" xfId="0" applyFont="1" applyFill="1" applyBorder="1" applyAlignment="1">
      <alignment horizontal="right" vertical="center"/>
    </xf>
    <xf numFmtId="0" fontId="25" fillId="10" borderId="10" xfId="0" applyFont="1" applyFill="1" applyBorder="1" applyAlignment="1">
      <alignment horizontal="right" vertical="center"/>
    </xf>
    <xf numFmtId="4" fontId="23" fillId="0" borderId="5" xfId="1" applyNumberFormat="1" applyFont="1" applyFill="1" applyBorder="1" applyAlignment="1">
      <alignment horizontal="center" vertical="center"/>
    </xf>
    <xf numFmtId="4" fontId="23" fillId="0" borderId="6" xfId="1" applyNumberFormat="1" applyFont="1" applyFill="1" applyBorder="1" applyAlignment="1">
      <alignment horizontal="center" vertical="center"/>
    </xf>
    <xf numFmtId="49" fontId="25" fillId="10" borderId="4" xfId="0" applyNumberFormat="1" applyFont="1" applyFill="1" applyBorder="1" applyAlignment="1">
      <alignment horizontal="right" vertical="center"/>
    </xf>
    <xf numFmtId="0" fontId="19" fillId="9" borderId="4" xfId="0" applyFont="1" applyFill="1" applyBorder="1" applyAlignment="1">
      <alignment horizontal="left" vertical="center"/>
    </xf>
    <xf numFmtId="0" fontId="27" fillId="9" borderId="11" xfId="0" applyFont="1" applyFill="1" applyBorder="1" applyAlignment="1">
      <alignment horizontal="left" vertical="center"/>
    </xf>
    <xf numFmtId="0" fontId="27" fillId="9" borderId="12" xfId="0" applyFont="1" applyFill="1" applyBorder="1" applyAlignment="1">
      <alignment horizontal="left" vertical="center"/>
    </xf>
    <xf numFmtId="0" fontId="27" fillId="9" borderId="13" xfId="0" applyFont="1" applyFill="1" applyBorder="1" applyAlignment="1">
      <alignment horizontal="left" vertical="center"/>
    </xf>
    <xf numFmtId="0" fontId="19" fillId="9" borderId="11" xfId="0" applyFont="1" applyFill="1" applyBorder="1" applyAlignment="1">
      <alignment horizontal="left" vertical="center"/>
    </xf>
    <xf numFmtId="0" fontId="19" fillId="9" borderId="12" xfId="0" applyFont="1" applyFill="1" applyBorder="1" applyAlignment="1">
      <alignment horizontal="left" vertical="center"/>
    </xf>
    <xf numFmtId="0" fontId="19" fillId="9" borderId="13" xfId="0" applyFont="1" applyFill="1" applyBorder="1" applyAlignment="1">
      <alignment horizontal="left" vertical="center"/>
    </xf>
    <xf numFmtId="0" fontId="19" fillId="9" borderId="2" xfId="0" applyFont="1" applyFill="1" applyBorder="1" applyAlignment="1">
      <alignment horizontal="left" vertical="center"/>
    </xf>
    <xf numFmtId="0" fontId="19" fillId="9" borderId="3" xfId="0" applyFont="1" applyFill="1" applyBorder="1" applyAlignment="1">
      <alignment horizontal="left" vertical="center"/>
    </xf>
    <xf numFmtId="0" fontId="19" fillId="9" borderId="14" xfId="0" applyFont="1" applyFill="1" applyBorder="1" applyAlignment="1">
      <alignment horizontal="left" vertical="center"/>
    </xf>
    <xf numFmtId="4" fontId="11" fillId="0" borderId="5" xfId="1" applyNumberFormat="1" applyFont="1" applyFill="1" applyBorder="1" applyAlignment="1">
      <alignment horizontal="center" vertical="center"/>
    </xf>
    <xf numFmtId="4" fontId="11" fillId="0" borderId="6" xfId="1" applyNumberFormat="1" applyFont="1" applyFill="1" applyBorder="1" applyAlignment="1">
      <alignment horizontal="center" vertical="center"/>
    </xf>
    <xf numFmtId="4" fontId="11" fillId="5" borderId="5" xfId="1" applyNumberFormat="1" applyFont="1" applyFill="1" applyBorder="1" applyAlignment="1">
      <alignment horizontal="center" vertical="center"/>
    </xf>
    <xf numFmtId="4" fontId="11" fillId="5" borderId="6" xfId="1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 horizontal="right" vertical="center"/>
    </xf>
    <xf numFmtId="0" fontId="19" fillId="9" borderId="8" xfId="0" applyFont="1" applyFill="1" applyBorder="1" applyAlignment="1">
      <alignment horizontal="left" vertical="center"/>
    </xf>
    <xf numFmtId="0" fontId="19" fillId="9" borderId="10" xfId="0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>
      <alignment horizontal="left" vertical="center" wrapText="1"/>
    </xf>
    <xf numFmtId="4" fontId="15" fillId="0" borderId="6" xfId="0" applyNumberFormat="1" applyFont="1" applyFill="1" applyBorder="1" applyAlignment="1">
      <alignment horizontal="left" vertical="center" wrapText="1"/>
    </xf>
    <xf numFmtId="4" fontId="15" fillId="0" borderId="5" xfId="1" applyNumberFormat="1" applyFont="1" applyFill="1" applyBorder="1" applyAlignment="1">
      <alignment horizontal="center" vertical="center"/>
    </xf>
    <xf numFmtId="4" fontId="15" fillId="0" borderId="6" xfId="1" applyNumberFormat="1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horizontal="left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7" fillId="10" borderId="8" xfId="0" applyFont="1" applyFill="1" applyBorder="1" applyAlignment="1">
      <alignment horizontal="right" vertical="center"/>
    </xf>
    <xf numFmtId="0" fontId="17" fillId="10" borderId="9" xfId="0" applyFont="1" applyFill="1" applyBorder="1" applyAlignment="1">
      <alignment horizontal="right" vertical="center"/>
    </xf>
    <xf numFmtId="0" fontId="17" fillId="10" borderId="10" xfId="0" applyFont="1" applyFill="1" applyBorder="1" applyAlignment="1">
      <alignment horizontal="right" vertical="center"/>
    </xf>
    <xf numFmtId="0" fontId="17" fillId="10" borderId="4" xfId="0" applyFont="1" applyFill="1" applyBorder="1" applyAlignment="1">
      <alignment horizontal="right" vertical="center"/>
    </xf>
    <xf numFmtId="0" fontId="25" fillId="9" borderId="8" xfId="0" applyFont="1" applyFill="1" applyBorder="1" applyAlignment="1">
      <alignment horizontal="right" vertical="center"/>
    </xf>
    <xf numFmtId="0" fontId="25" fillId="9" borderId="9" xfId="0" applyFont="1" applyFill="1" applyBorder="1" applyAlignment="1">
      <alignment horizontal="right" vertical="center"/>
    </xf>
    <xf numFmtId="0" fontId="25" fillId="9" borderId="10" xfId="0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right" vertical="center" wrapText="1"/>
    </xf>
    <xf numFmtId="0" fontId="25" fillId="8" borderId="9" xfId="0" applyFont="1" applyFill="1" applyBorder="1" applyAlignment="1">
      <alignment horizontal="right" vertical="center" wrapText="1"/>
    </xf>
    <xf numFmtId="0" fontId="25" fillId="8" borderId="10" xfId="0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left" vertical="center" wrapText="1"/>
    </xf>
    <xf numFmtId="4" fontId="11" fillId="5" borderId="5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left" vertical="center" wrapText="1"/>
    </xf>
    <xf numFmtId="4" fontId="11" fillId="2" borderId="7" xfId="0" applyNumberFormat="1" applyFont="1" applyFill="1" applyBorder="1" applyAlignment="1">
      <alignment horizontal="left" vertical="center" wrapText="1"/>
    </xf>
    <xf numFmtId="4" fontId="11" fillId="2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W219"/>
  <sheetViews>
    <sheetView tabSelected="1" zoomScale="80" zoomScaleNormal="80" workbookViewId="0">
      <pane xSplit="5" ySplit="3" topLeftCell="J39" activePane="bottomRight" state="frozen"/>
      <selection pane="topRight" activeCell="F1" sqref="F1"/>
      <selection pane="bottomLeft" activeCell="A4" sqref="A4"/>
      <selection pane="bottomRight" sqref="A1:R2"/>
    </sheetView>
  </sheetViews>
  <sheetFormatPr defaultColWidth="8.85546875" defaultRowHeight="20.25" x14ac:dyDescent="0.3"/>
  <cols>
    <col min="1" max="1" width="14.5703125" style="267" customWidth="1"/>
    <col min="2" max="2" width="24.42578125" style="268" customWidth="1"/>
    <col min="3" max="3" width="7.5703125" style="269" customWidth="1"/>
    <col min="4" max="4" width="7.7109375" style="270" customWidth="1"/>
    <col min="5" max="5" width="65.28515625" style="270" customWidth="1"/>
    <col min="6" max="6" width="21.7109375" style="1" customWidth="1"/>
    <col min="7" max="7" width="18.5703125" style="1" customWidth="1"/>
    <col min="8" max="8" width="21.85546875" style="1" customWidth="1"/>
    <col min="9" max="9" width="18.28515625" style="1" customWidth="1"/>
    <col min="10" max="10" width="23.42578125" style="1" customWidth="1"/>
    <col min="11" max="11" width="19.7109375" style="1" customWidth="1"/>
    <col min="12" max="12" width="21.85546875" style="1" customWidth="1"/>
    <col min="13" max="13" width="18.5703125" style="1" customWidth="1"/>
    <col min="14" max="14" width="23.42578125" style="1" customWidth="1"/>
    <col min="15" max="15" width="19.85546875" style="272" customWidth="1"/>
    <col min="16" max="16" width="21.140625" style="1" customWidth="1"/>
    <col min="17" max="17" width="20.140625" style="1" customWidth="1"/>
    <col min="18" max="18" width="20" style="1" customWidth="1"/>
    <col min="19" max="19" width="24.140625" style="1" customWidth="1"/>
    <col min="20" max="20" width="8.85546875" style="1"/>
    <col min="21" max="21" width="19.5703125" style="1" bestFit="1" customWidth="1"/>
    <col min="22" max="16384" width="8.85546875" style="1"/>
  </cols>
  <sheetData>
    <row r="1" spans="1:49" ht="14.45" customHeight="1" x14ac:dyDescent="0.3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49" ht="71.25" customHeight="1" x14ac:dyDescent="0.3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49" s="10" customFormat="1" ht="72" x14ac:dyDescent="0.25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9" t="s">
        <v>17</v>
      </c>
      <c r="R3" s="8" t="s">
        <v>18</v>
      </c>
    </row>
    <row r="4" spans="1:49" s="21" customFormat="1" ht="24.75" customHeight="1" x14ac:dyDescent="0.25">
      <c r="A4" s="11" t="s">
        <v>19</v>
      </c>
      <c r="B4" s="12" t="s">
        <v>20</v>
      </c>
      <c r="C4" s="13">
        <v>111</v>
      </c>
      <c r="D4" s="13">
        <v>211</v>
      </c>
      <c r="E4" s="14" t="s">
        <v>21</v>
      </c>
      <c r="F4" s="15">
        <v>21611354</v>
      </c>
      <c r="G4" s="16">
        <v>-147.28</v>
      </c>
      <c r="H4" s="17">
        <f>F4+G4</f>
        <v>21611206.719999999</v>
      </c>
      <c r="I4" s="16"/>
      <c r="J4" s="16">
        <f>H4+I4</f>
        <v>21611206.719999999</v>
      </c>
      <c r="K4" s="16">
        <v>-24822.400000000001</v>
      </c>
      <c r="L4" s="16">
        <f>J4+K4</f>
        <v>21586384.32</v>
      </c>
      <c r="M4" s="18"/>
      <c r="N4" s="18">
        <f>L4+M4</f>
        <v>21586384.32</v>
      </c>
      <c r="O4" s="19"/>
      <c r="P4" s="17"/>
      <c r="Q4" s="20"/>
      <c r="R4" s="16">
        <f>L4-Q4</f>
        <v>21586384.32</v>
      </c>
    </row>
    <row r="5" spans="1:49" s="29" customFormat="1" x14ac:dyDescent="0.25">
      <c r="A5" s="22" t="s">
        <v>19</v>
      </c>
      <c r="B5" s="23" t="s">
        <v>20</v>
      </c>
      <c r="C5" s="24">
        <v>111</v>
      </c>
      <c r="D5" s="24">
        <v>211</v>
      </c>
      <c r="E5" s="25" t="s">
        <v>22</v>
      </c>
      <c r="F5" s="26">
        <f>F4</f>
        <v>21611354</v>
      </c>
      <c r="G5" s="26">
        <f t="shared" ref="G5:N5" si="0">SUM(G4)</f>
        <v>-147.28</v>
      </c>
      <c r="H5" s="26">
        <f t="shared" si="0"/>
        <v>21611206.719999999</v>
      </c>
      <c r="I5" s="26">
        <f t="shared" si="0"/>
        <v>0</v>
      </c>
      <c r="J5" s="26">
        <f t="shared" si="0"/>
        <v>21611206.719999999</v>
      </c>
      <c r="K5" s="26">
        <f t="shared" si="0"/>
        <v>-24822.400000000001</v>
      </c>
      <c r="L5" s="26">
        <f t="shared" si="0"/>
        <v>21586384.32</v>
      </c>
      <c r="M5" s="26">
        <f t="shared" si="0"/>
        <v>0</v>
      </c>
      <c r="N5" s="26">
        <f t="shared" si="0"/>
        <v>21586384.32</v>
      </c>
      <c r="O5" s="27"/>
      <c r="P5" s="26">
        <f>SUM(P4)</f>
        <v>0</v>
      </c>
      <c r="Q5" s="26">
        <f>SUM(Q4)</f>
        <v>0</v>
      </c>
      <c r="R5" s="26">
        <f>J5-Q5</f>
        <v>21611206.719999999</v>
      </c>
      <c r="S5" s="28"/>
    </row>
    <row r="6" spans="1:49" s="38" customFormat="1" ht="22.5" customHeight="1" x14ac:dyDescent="0.25">
      <c r="A6" s="30" t="s">
        <v>23</v>
      </c>
      <c r="B6" s="31" t="s">
        <v>20</v>
      </c>
      <c r="C6" s="32">
        <v>111</v>
      </c>
      <c r="D6" s="32">
        <v>211</v>
      </c>
      <c r="E6" s="33" t="s">
        <v>21</v>
      </c>
      <c r="F6" s="34">
        <v>5125890</v>
      </c>
      <c r="G6" s="34"/>
      <c r="H6" s="34">
        <f>F6+G6</f>
        <v>5125890</v>
      </c>
      <c r="I6" s="34"/>
      <c r="J6" s="34">
        <f>H6+I6</f>
        <v>5125890</v>
      </c>
      <c r="K6" s="34"/>
      <c r="L6" s="34">
        <f>J6+K6</f>
        <v>5125890</v>
      </c>
      <c r="M6" s="35"/>
      <c r="N6" s="35">
        <f>L6+M6</f>
        <v>5125890</v>
      </c>
      <c r="O6" s="36"/>
      <c r="P6" s="34"/>
      <c r="Q6" s="37"/>
      <c r="R6" s="34">
        <f>L6-Q6</f>
        <v>5125890</v>
      </c>
    </row>
    <row r="7" spans="1:49" s="46" customFormat="1" x14ac:dyDescent="0.25">
      <c r="A7" s="39" t="s">
        <v>23</v>
      </c>
      <c r="B7" s="40" t="s">
        <v>20</v>
      </c>
      <c r="C7" s="41">
        <v>111</v>
      </c>
      <c r="D7" s="41">
        <v>211</v>
      </c>
      <c r="E7" s="42" t="s">
        <v>22</v>
      </c>
      <c r="F7" s="43">
        <f>F6</f>
        <v>5125890</v>
      </c>
      <c r="G7" s="43">
        <f t="shared" ref="G7:M7" si="1">SUM(G6)</f>
        <v>0</v>
      </c>
      <c r="H7" s="43">
        <f t="shared" si="1"/>
        <v>5125890</v>
      </c>
      <c r="I7" s="43">
        <f t="shared" si="1"/>
        <v>0</v>
      </c>
      <c r="J7" s="43">
        <f t="shared" si="1"/>
        <v>5125890</v>
      </c>
      <c r="K7" s="43">
        <f t="shared" si="1"/>
        <v>0</v>
      </c>
      <c r="L7" s="43">
        <f t="shared" si="1"/>
        <v>5125890</v>
      </c>
      <c r="M7" s="43">
        <f t="shared" si="1"/>
        <v>0</v>
      </c>
      <c r="N7" s="43">
        <f>SUM(N6)</f>
        <v>5125890</v>
      </c>
      <c r="O7" s="44"/>
      <c r="P7" s="43">
        <f>SUM(P6)</f>
        <v>0</v>
      </c>
      <c r="Q7" s="43">
        <f>SUM(Q6)</f>
        <v>0</v>
      </c>
      <c r="R7" s="43">
        <f>J7-Q7</f>
        <v>5125890</v>
      </c>
      <c r="S7" s="45"/>
    </row>
    <row r="8" spans="1:49" s="57" customFormat="1" ht="37.5" customHeight="1" x14ac:dyDescent="0.25">
      <c r="A8" s="47" t="s">
        <v>19</v>
      </c>
      <c r="B8" s="48" t="s">
        <v>20</v>
      </c>
      <c r="C8" s="49">
        <v>111</v>
      </c>
      <c r="D8" s="49">
        <v>266</v>
      </c>
      <c r="E8" s="50" t="s">
        <v>24</v>
      </c>
      <c r="F8" s="51">
        <v>50000</v>
      </c>
      <c r="G8" s="51"/>
      <c r="H8" s="52">
        <f>F8+G8</f>
        <v>50000</v>
      </c>
      <c r="I8" s="51"/>
      <c r="J8" s="51">
        <f>H8+I8</f>
        <v>50000</v>
      </c>
      <c r="K8" s="51">
        <v>50000</v>
      </c>
      <c r="L8" s="51">
        <f>J8+K8</f>
        <v>100000</v>
      </c>
      <c r="M8" s="51"/>
      <c r="N8" s="51">
        <f>L8+M8</f>
        <v>100000</v>
      </c>
      <c r="O8" s="53"/>
      <c r="P8" s="52"/>
      <c r="Q8" s="54"/>
      <c r="R8" s="51">
        <f>L8-Q8</f>
        <v>100000</v>
      </c>
      <c r="S8" s="55">
        <f>L6+L10</f>
        <v>5154670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s="29" customFormat="1" ht="35.25" customHeight="1" x14ac:dyDescent="0.25">
      <c r="A9" s="22" t="s">
        <v>19</v>
      </c>
      <c r="B9" s="23" t="s">
        <v>20</v>
      </c>
      <c r="C9" s="24">
        <v>111</v>
      </c>
      <c r="D9" s="24">
        <v>266</v>
      </c>
      <c r="E9" s="25" t="s">
        <v>24</v>
      </c>
      <c r="F9" s="26">
        <f t="shared" ref="F9:N9" si="2">F8</f>
        <v>50000</v>
      </c>
      <c r="G9" s="26">
        <f t="shared" si="2"/>
        <v>0</v>
      </c>
      <c r="H9" s="26">
        <f t="shared" si="2"/>
        <v>50000</v>
      </c>
      <c r="I9" s="26">
        <f t="shared" si="2"/>
        <v>0</v>
      </c>
      <c r="J9" s="26">
        <f t="shared" si="2"/>
        <v>50000</v>
      </c>
      <c r="K9" s="26">
        <f t="shared" si="2"/>
        <v>50000</v>
      </c>
      <c r="L9" s="26">
        <f t="shared" si="2"/>
        <v>100000</v>
      </c>
      <c r="M9" s="26">
        <f t="shared" si="2"/>
        <v>0</v>
      </c>
      <c r="N9" s="26">
        <f t="shared" si="2"/>
        <v>100000</v>
      </c>
      <c r="O9" s="27"/>
      <c r="P9" s="26">
        <f>P8</f>
        <v>0</v>
      </c>
      <c r="Q9" s="26">
        <f>Q8</f>
        <v>0</v>
      </c>
      <c r="R9" s="26">
        <f>J9-Q9</f>
        <v>50000</v>
      </c>
    </row>
    <row r="10" spans="1:49" s="66" customFormat="1" ht="37.5" customHeight="1" x14ac:dyDescent="0.25">
      <c r="A10" s="58" t="s">
        <v>23</v>
      </c>
      <c r="B10" s="59" t="s">
        <v>20</v>
      </c>
      <c r="C10" s="60">
        <v>111</v>
      </c>
      <c r="D10" s="60">
        <v>266</v>
      </c>
      <c r="E10" s="61" t="s">
        <v>24</v>
      </c>
      <c r="F10" s="62">
        <v>8780</v>
      </c>
      <c r="G10" s="62"/>
      <c r="H10" s="62">
        <f>F10+G10</f>
        <v>8780</v>
      </c>
      <c r="I10" s="62"/>
      <c r="J10" s="62">
        <f>I10+H10</f>
        <v>8780</v>
      </c>
      <c r="K10" s="62">
        <v>20000</v>
      </c>
      <c r="L10" s="62">
        <f>J10+K10</f>
        <v>28780</v>
      </c>
      <c r="M10" s="63"/>
      <c r="N10" s="63">
        <f>L10+M10</f>
        <v>28780</v>
      </c>
      <c r="O10" s="64"/>
      <c r="P10" s="62"/>
      <c r="Q10" s="65"/>
      <c r="R10" s="62">
        <f>L10-Q10</f>
        <v>28780</v>
      </c>
    </row>
    <row r="11" spans="1:49" s="46" customFormat="1" ht="37.5" customHeight="1" x14ac:dyDescent="0.25">
      <c r="A11" s="39" t="s">
        <v>23</v>
      </c>
      <c r="B11" s="40" t="s">
        <v>20</v>
      </c>
      <c r="C11" s="41">
        <v>111</v>
      </c>
      <c r="D11" s="41">
        <v>266</v>
      </c>
      <c r="E11" s="42" t="s">
        <v>25</v>
      </c>
      <c r="F11" s="43">
        <f t="shared" ref="F11:N11" si="3">SUM(F10)</f>
        <v>8780</v>
      </c>
      <c r="G11" s="43">
        <f t="shared" si="3"/>
        <v>0</v>
      </c>
      <c r="H11" s="43">
        <f t="shared" si="3"/>
        <v>8780</v>
      </c>
      <c r="I11" s="43">
        <f t="shared" si="3"/>
        <v>0</v>
      </c>
      <c r="J11" s="43">
        <f t="shared" si="3"/>
        <v>8780</v>
      </c>
      <c r="K11" s="43">
        <f t="shared" si="3"/>
        <v>20000</v>
      </c>
      <c r="L11" s="43">
        <f t="shared" si="3"/>
        <v>28780</v>
      </c>
      <c r="M11" s="43">
        <f t="shared" si="3"/>
        <v>0</v>
      </c>
      <c r="N11" s="43">
        <f t="shared" si="3"/>
        <v>28780</v>
      </c>
      <c r="O11" s="44"/>
      <c r="P11" s="43">
        <f>SUM(P10)</f>
        <v>0</v>
      </c>
      <c r="Q11" s="43">
        <f>SUM(Q10)</f>
        <v>0</v>
      </c>
      <c r="R11" s="43">
        <f>J11-Q11</f>
        <v>8780</v>
      </c>
    </row>
    <row r="12" spans="1:49" s="38" customFormat="1" ht="23.25" customHeight="1" x14ac:dyDescent="0.25">
      <c r="A12" s="30" t="s">
        <v>23</v>
      </c>
      <c r="B12" s="31" t="s">
        <v>20</v>
      </c>
      <c r="C12" s="32">
        <v>112</v>
      </c>
      <c r="D12" s="32">
        <v>226</v>
      </c>
      <c r="E12" s="33" t="s">
        <v>26</v>
      </c>
      <c r="F12" s="34"/>
      <c r="G12" s="34"/>
      <c r="H12" s="34">
        <f>F12+G12</f>
        <v>0</v>
      </c>
      <c r="I12" s="34">
        <v>2800</v>
      </c>
      <c r="J12" s="34">
        <f>H12+I12</f>
        <v>2800</v>
      </c>
      <c r="K12" s="34"/>
      <c r="L12" s="34">
        <f>J12+K12</f>
        <v>2800</v>
      </c>
      <c r="M12" s="35"/>
      <c r="N12" s="35">
        <f>L12+M12</f>
        <v>2800</v>
      </c>
      <c r="O12" s="36" t="s">
        <v>27</v>
      </c>
      <c r="P12" s="34">
        <v>2800</v>
      </c>
      <c r="Q12" s="37">
        <v>2800</v>
      </c>
      <c r="R12" s="34">
        <f>L12-P12</f>
        <v>0</v>
      </c>
    </row>
    <row r="13" spans="1:49" s="73" customFormat="1" ht="37.5" customHeight="1" x14ac:dyDescent="0.25">
      <c r="A13" s="67" t="s">
        <v>23</v>
      </c>
      <c r="B13" s="68" t="s">
        <v>20</v>
      </c>
      <c r="C13" s="69">
        <v>112</v>
      </c>
      <c r="D13" s="69">
        <v>226</v>
      </c>
      <c r="E13" s="70" t="s">
        <v>28</v>
      </c>
      <c r="F13" s="71">
        <f t="shared" ref="F13:N13" si="4">SUM(F12:F12)</f>
        <v>0</v>
      </c>
      <c r="G13" s="71">
        <f t="shared" si="4"/>
        <v>0</v>
      </c>
      <c r="H13" s="71">
        <f t="shared" si="4"/>
        <v>0</v>
      </c>
      <c r="I13" s="71">
        <f t="shared" si="4"/>
        <v>2800</v>
      </c>
      <c r="J13" s="71">
        <f t="shared" si="4"/>
        <v>2800</v>
      </c>
      <c r="K13" s="71">
        <f t="shared" si="4"/>
        <v>0</v>
      </c>
      <c r="L13" s="71">
        <f t="shared" si="4"/>
        <v>2800</v>
      </c>
      <c r="M13" s="71">
        <f t="shared" si="4"/>
        <v>0</v>
      </c>
      <c r="N13" s="71">
        <f t="shared" si="4"/>
        <v>2800</v>
      </c>
      <c r="O13" s="72"/>
      <c r="P13" s="71">
        <f>SUM(P12:P12)</f>
        <v>2800</v>
      </c>
      <c r="Q13" s="71">
        <f>SUM(Q12:Q12)</f>
        <v>2800</v>
      </c>
      <c r="R13" s="71">
        <f>SUM(R12:R12)</f>
        <v>0</v>
      </c>
    </row>
    <row r="14" spans="1:49" s="38" customFormat="1" x14ac:dyDescent="0.25">
      <c r="A14" s="30" t="s">
        <v>23</v>
      </c>
      <c r="B14" s="31" t="s">
        <v>20</v>
      </c>
      <c r="C14" s="32">
        <v>119</v>
      </c>
      <c r="D14" s="32">
        <v>213</v>
      </c>
      <c r="E14" s="33" t="s">
        <v>29</v>
      </c>
      <c r="F14" s="34">
        <v>1548020</v>
      </c>
      <c r="G14" s="34"/>
      <c r="H14" s="34">
        <f>F14+G14</f>
        <v>1548020</v>
      </c>
      <c r="I14" s="34"/>
      <c r="J14" s="34">
        <f>H14+I14</f>
        <v>1548020</v>
      </c>
      <c r="K14" s="34">
        <v>-20000</v>
      </c>
      <c r="L14" s="34">
        <f>J14+K14</f>
        <v>1528020</v>
      </c>
      <c r="M14" s="34"/>
      <c r="N14" s="35">
        <f>L14+M14</f>
        <v>1528020</v>
      </c>
      <c r="O14" s="36"/>
      <c r="P14" s="34"/>
      <c r="Q14" s="37"/>
      <c r="R14" s="34">
        <f>L14-P14</f>
        <v>1528020</v>
      </c>
    </row>
    <row r="15" spans="1:49" s="46" customFormat="1" x14ac:dyDescent="0.25">
      <c r="A15" s="39" t="s">
        <v>23</v>
      </c>
      <c r="B15" s="40" t="s">
        <v>20</v>
      </c>
      <c r="C15" s="41">
        <v>119</v>
      </c>
      <c r="D15" s="41">
        <v>213</v>
      </c>
      <c r="E15" s="42" t="s">
        <v>30</v>
      </c>
      <c r="F15" s="43">
        <f t="shared" ref="F15:N15" si="5">SUM(F14)</f>
        <v>1548020</v>
      </c>
      <c r="G15" s="43">
        <f t="shared" si="5"/>
        <v>0</v>
      </c>
      <c r="H15" s="43">
        <f t="shared" si="5"/>
        <v>1548020</v>
      </c>
      <c r="I15" s="43">
        <f t="shared" si="5"/>
        <v>0</v>
      </c>
      <c r="J15" s="43">
        <f t="shared" si="5"/>
        <v>1548020</v>
      </c>
      <c r="K15" s="43">
        <f t="shared" si="5"/>
        <v>-20000</v>
      </c>
      <c r="L15" s="43">
        <f t="shared" si="5"/>
        <v>1528020</v>
      </c>
      <c r="M15" s="43">
        <f t="shared" si="5"/>
        <v>0</v>
      </c>
      <c r="N15" s="43">
        <f t="shared" si="5"/>
        <v>1528020</v>
      </c>
      <c r="O15" s="44"/>
      <c r="P15" s="43">
        <f>SUM(P14)</f>
        <v>0</v>
      </c>
      <c r="Q15" s="43">
        <f>SUM(Q14)</f>
        <v>0</v>
      </c>
      <c r="R15" s="43">
        <f>SUM(R14)</f>
        <v>1528020</v>
      </c>
    </row>
    <row r="16" spans="1:49" s="56" customFormat="1" x14ac:dyDescent="0.25">
      <c r="A16" s="74" t="s">
        <v>19</v>
      </c>
      <c r="B16" s="75" t="s">
        <v>20</v>
      </c>
      <c r="C16" s="13">
        <v>119</v>
      </c>
      <c r="D16" s="13">
        <v>266</v>
      </c>
      <c r="E16" s="76" t="s">
        <v>31</v>
      </c>
      <c r="F16" s="52"/>
      <c r="G16" s="52"/>
      <c r="H16" s="52"/>
      <c r="I16" s="52"/>
      <c r="J16" s="52"/>
      <c r="K16" s="52">
        <v>14809.35</v>
      </c>
      <c r="L16" s="52">
        <f>J16+K16</f>
        <v>14809.35</v>
      </c>
      <c r="M16" s="52"/>
      <c r="N16" s="52">
        <f>L16+M16</f>
        <v>14809.35</v>
      </c>
      <c r="O16" s="53"/>
      <c r="P16" s="52"/>
      <c r="Q16" s="54"/>
      <c r="R16" s="52">
        <f>L16-Q16</f>
        <v>14809.35</v>
      </c>
    </row>
    <row r="17" spans="1:49" s="29" customFormat="1" x14ac:dyDescent="0.25">
      <c r="A17" s="22" t="s">
        <v>19</v>
      </c>
      <c r="B17" s="23"/>
      <c r="C17" s="24">
        <v>119</v>
      </c>
      <c r="D17" s="24">
        <v>266</v>
      </c>
      <c r="E17" s="25"/>
      <c r="F17" s="26"/>
      <c r="G17" s="26"/>
      <c r="H17" s="26"/>
      <c r="I17" s="26"/>
      <c r="J17" s="26"/>
      <c r="K17" s="26">
        <f>K16</f>
        <v>14809.35</v>
      </c>
      <c r="L17" s="26">
        <f>L16</f>
        <v>14809.35</v>
      </c>
      <c r="M17" s="26"/>
      <c r="N17" s="26">
        <f>N16</f>
        <v>14809.35</v>
      </c>
      <c r="O17" s="27"/>
      <c r="P17" s="26"/>
      <c r="Q17" s="26">
        <f>Q16</f>
        <v>0</v>
      </c>
      <c r="R17" s="26">
        <f>R16</f>
        <v>14809.35</v>
      </c>
    </row>
    <row r="18" spans="1:49" s="57" customFormat="1" ht="22.5" customHeight="1" x14ac:dyDescent="0.25">
      <c r="A18" s="47" t="s">
        <v>19</v>
      </c>
      <c r="B18" s="48" t="s">
        <v>20</v>
      </c>
      <c r="C18" s="49">
        <v>119</v>
      </c>
      <c r="D18" s="49">
        <v>213</v>
      </c>
      <c r="E18" s="50" t="s">
        <v>29</v>
      </c>
      <c r="F18" s="51">
        <v>6526629</v>
      </c>
      <c r="G18" s="51"/>
      <c r="H18" s="52">
        <f>F18+G18</f>
        <v>6526629</v>
      </c>
      <c r="I18" s="51"/>
      <c r="J18" s="51">
        <f>H18+I18</f>
        <v>6526629</v>
      </c>
      <c r="K18" s="51">
        <f>-14809.35-50000</f>
        <v>-64809.35</v>
      </c>
      <c r="L18" s="51">
        <f>J18+K18</f>
        <v>6461819.6500000004</v>
      </c>
      <c r="M18" s="51"/>
      <c r="N18" s="51">
        <f>L18+M18</f>
        <v>6461819.6500000004</v>
      </c>
      <c r="O18" s="77"/>
      <c r="P18" s="51"/>
      <c r="Q18" s="54"/>
      <c r="R18" s="51">
        <f>L18-P18</f>
        <v>6461819.6500000004</v>
      </c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</row>
    <row r="19" spans="1:49" s="29" customFormat="1" x14ac:dyDescent="0.25">
      <c r="A19" s="22" t="s">
        <v>19</v>
      </c>
      <c r="B19" s="23" t="s">
        <v>20</v>
      </c>
      <c r="C19" s="24">
        <v>119</v>
      </c>
      <c r="D19" s="24">
        <v>213</v>
      </c>
      <c r="E19" s="25" t="s">
        <v>30</v>
      </c>
      <c r="F19" s="26">
        <f t="shared" ref="F19:N19" si="6">F18</f>
        <v>6526629</v>
      </c>
      <c r="G19" s="26">
        <f t="shared" si="6"/>
        <v>0</v>
      </c>
      <c r="H19" s="26">
        <f t="shared" si="6"/>
        <v>6526629</v>
      </c>
      <c r="I19" s="26">
        <f t="shared" si="6"/>
        <v>0</v>
      </c>
      <c r="J19" s="26">
        <f t="shared" si="6"/>
        <v>6526629</v>
      </c>
      <c r="K19" s="26">
        <f t="shared" si="6"/>
        <v>-64809.35</v>
      </c>
      <c r="L19" s="26">
        <f t="shared" si="6"/>
        <v>6461819.6500000004</v>
      </c>
      <c r="M19" s="26">
        <f t="shared" si="6"/>
        <v>0</v>
      </c>
      <c r="N19" s="26">
        <f t="shared" si="6"/>
        <v>6461819.6500000004</v>
      </c>
      <c r="O19" s="27"/>
      <c r="P19" s="26">
        <f>SUM(P18)</f>
        <v>0</v>
      </c>
      <c r="Q19" s="26">
        <f>SUM(Q18)</f>
        <v>0</v>
      </c>
      <c r="R19" s="26">
        <f>SUM(R18)</f>
        <v>6461819.6500000004</v>
      </c>
    </row>
    <row r="20" spans="1:49" s="29" customFormat="1" hidden="1" x14ac:dyDescent="0.25">
      <c r="A20" s="78" t="s">
        <v>32</v>
      </c>
      <c r="B20" s="79" t="s">
        <v>20</v>
      </c>
      <c r="C20" s="80">
        <v>119</v>
      </c>
      <c r="D20" s="80">
        <v>213</v>
      </c>
      <c r="E20" s="81" t="s">
        <v>29</v>
      </c>
      <c r="F20" s="82"/>
      <c r="G20" s="82"/>
      <c r="H20" s="82"/>
      <c r="I20" s="82"/>
      <c r="J20" s="82"/>
      <c r="K20" s="82"/>
      <c r="L20" s="82">
        <f>J20+K20</f>
        <v>0</v>
      </c>
      <c r="M20" s="82"/>
      <c r="N20" s="82">
        <f>L20+M20</f>
        <v>0</v>
      </c>
      <c r="O20" s="83"/>
      <c r="P20" s="82"/>
      <c r="Q20" s="84"/>
      <c r="R20" s="82">
        <f>N20-P20</f>
        <v>0</v>
      </c>
    </row>
    <row r="21" spans="1:49" s="29" customFormat="1" hidden="1" x14ac:dyDescent="0.25">
      <c r="A21" s="85" t="s">
        <v>32</v>
      </c>
      <c r="B21" s="86" t="s">
        <v>20</v>
      </c>
      <c r="C21" s="87">
        <v>119</v>
      </c>
      <c r="D21" s="87">
        <v>213</v>
      </c>
      <c r="E21" s="88" t="s">
        <v>30</v>
      </c>
      <c r="F21" s="89"/>
      <c r="G21" s="89"/>
      <c r="H21" s="89"/>
      <c r="I21" s="89"/>
      <c r="J21" s="89"/>
      <c r="K21" s="89">
        <f>K20</f>
        <v>0</v>
      </c>
      <c r="L21" s="89">
        <f t="shared" ref="L21:R21" si="7">L20</f>
        <v>0</v>
      </c>
      <c r="M21" s="89">
        <f t="shared" si="7"/>
        <v>0</v>
      </c>
      <c r="N21" s="89">
        <f t="shared" si="7"/>
        <v>0</v>
      </c>
      <c r="O21" s="89"/>
      <c r="P21" s="89">
        <f t="shared" si="7"/>
        <v>0</v>
      </c>
      <c r="Q21" s="89">
        <f t="shared" si="7"/>
        <v>0</v>
      </c>
      <c r="R21" s="89">
        <f t="shared" si="7"/>
        <v>0</v>
      </c>
    </row>
    <row r="22" spans="1:49" s="29" customFormat="1" hidden="1" x14ac:dyDescent="0.25">
      <c r="A22" s="74" t="s">
        <v>19</v>
      </c>
      <c r="B22" s="75" t="s">
        <v>20</v>
      </c>
      <c r="C22" s="13">
        <v>119</v>
      </c>
      <c r="D22" s="13">
        <v>266</v>
      </c>
      <c r="E22" s="76" t="s">
        <v>33</v>
      </c>
      <c r="F22" s="52"/>
      <c r="G22" s="52"/>
      <c r="H22" s="52">
        <f>F22+G22</f>
        <v>0</v>
      </c>
      <c r="I22" s="52"/>
      <c r="J22" s="52">
        <f>H22+I22</f>
        <v>0</v>
      </c>
      <c r="K22" s="52"/>
      <c r="L22" s="52">
        <f>J22+K22</f>
        <v>0</v>
      </c>
      <c r="M22" s="52"/>
      <c r="N22" s="52">
        <f>L22+M22</f>
        <v>0</v>
      </c>
      <c r="O22" s="53"/>
      <c r="P22" s="52"/>
      <c r="Q22" s="54"/>
      <c r="R22" s="52">
        <f>N22-P22</f>
        <v>0</v>
      </c>
    </row>
    <row r="23" spans="1:49" s="29" customFormat="1" ht="36.75" hidden="1" customHeight="1" x14ac:dyDescent="0.25">
      <c r="A23" s="22" t="s">
        <v>19</v>
      </c>
      <c r="B23" s="23" t="s">
        <v>20</v>
      </c>
      <c r="C23" s="24">
        <v>119</v>
      </c>
      <c r="D23" s="24">
        <v>266</v>
      </c>
      <c r="E23" s="25" t="s">
        <v>34</v>
      </c>
      <c r="F23" s="26">
        <f t="shared" ref="F23:N23" si="8">F22</f>
        <v>0</v>
      </c>
      <c r="G23" s="26">
        <f t="shared" si="8"/>
        <v>0</v>
      </c>
      <c r="H23" s="26">
        <f t="shared" si="8"/>
        <v>0</v>
      </c>
      <c r="I23" s="26">
        <f t="shared" si="8"/>
        <v>0</v>
      </c>
      <c r="J23" s="26">
        <f t="shared" si="8"/>
        <v>0</v>
      </c>
      <c r="K23" s="26">
        <f t="shared" si="8"/>
        <v>0</v>
      </c>
      <c r="L23" s="26">
        <f t="shared" si="8"/>
        <v>0</v>
      </c>
      <c r="M23" s="26">
        <f t="shared" si="8"/>
        <v>0</v>
      </c>
      <c r="N23" s="26">
        <f t="shared" si="8"/>
        <v>0</v>
      </c>
      <c r="O23" s="27"/>
      <c r="P23" s="26">
        <f>P22</f>
        <v>0</v>
      </c>
      <c r="Q23" s="26">
        <f>Q22</f>
        <v>0</v>
      </c>
      <c r="R23" s="26">
        <f>R22</f>
        <v>0</v>
      </c>
    </row>
    <row r="24" spans="1:49" s="38" customFormat="1" ht="52.5" customHeight="1" x14ac:dyDescent="0.25">
      <c r="A24" s="30" t="s">
        <v>23</v>
      </c>
      <c r="B24" s="31" t="s">
        <v>20</v>
      </c>
      <c r="C24" s="32">
        <v>244</v>
      </c>
      <c r="D24" s="32">
        <v>221</v>
      </c>
      <c r="E24" s="33" t="s">
        <v>35</v>
      </c>
      <c r="F24" s="34">
        <v>3300</v>
      </c>
      <c r="G24" s="34"/>
      <c r="H24" s="34">
        <f>F24+G24</f>
        <v>3300</v>
      </c>
      <c r="I24" s="34"/>
      <c r="J24" s="34">
        <f>H24+I24</f>
        <v>3300</v>
      </c>
      <c r="K24" s="34"/>
      <c r="L24" s="34">
        <f>J24+K24</f>
        <v>3300</v>
      </c>
      <c r="M24" s="35">
        <v>-146.76</v>
      </c>
      <c r="N24" s="35">
        <f>L24+M24</f>
        <v>3153.24</v>
      </c>
      <c r="O24" s="324" t="s">
        <v>36</v>
      </c>
      <c r="P24" s="319">
        <v>7573.87</v>
      </c>
      <c r="Q24" s="328">
        <f>625.02+628.38+635.52+631.32+651.06+637.62+661.56+625.86+630.9+640.14+629.64</f>
        <v>6997.0199999999995</v>
      </c>
      <c r="R24" s="319">
        <f>N24+N25-P24</f>
        <v>179.36999999999989</v>
      </c>
    </row>
    <row r="25" spans="1:49" s="38" customFormat="1" ht="55.5" customHeight="1" x14ac:dyDescent="0.25">
      <c r="A25" s="30" t="s">
        <v>23</v>
      </c>
      <c r="B25" s="31" t="s">
        <v>20</v>
      </c>
      <c r="C25" s="32">
        <v>244</v>
      </c>
      <c r="D25" s="32">
        <v>221</v>
      </c>
      <c r="E25" s="33" t="s">
        <v>37</v>
      </c>
      <c r="F25" s="34">
        <v>4600</v>
      </c>
      <c r="G25" s="34"/>
      <c r="H25" s="34">
        <f>F25+G25</f>
        <v>4600</v>
      </c>
      <c r="I25" s="34"/>
      <c r="J25" s="34">
        <f>H25+I25</f>
        <v>4600</v>
      </c>
      <c r="K25" s="34"/>
      <c r="L25" s="34">
        <f>J25+K25</f>
        <v>4600</v>
      </c>
      <c r="M25" s="34"/>
      <c r="N25" s="35">
        <f>L25+M25</f>
        <v>4600</v>
      </c>
      <c r="O25" s="325"/>
      <c r="P25" s="320"/>
      <c r="Q25" s="329"/>
      <c r="R25" s="320"/>
    </row>
    <row r="26" spans="1:49" s="38" customFormat="1" ht="35.25" customHeight="1" x14ac:dyDescent="0.25">
      <c r="A26" s="30" t="s">
        <v>23</v>
      </c>
      <c r="B26" s="31" t="s">
        <v>20</v>
      </c>
      <c r="C26" s="32">
        <v>244</v>
      </c>
      <c r="D26" s="32">
        <v>221</v>
      </c>
      <c r="E26" s="33" t="s">
        <v>38</v>
      </c>
      <c r="F26" s="34"/>
      <c r="G26" s="34"/>
      <c r="H26" s="34"/>
      <c r="I26" s="34">
        <v>3040</v>
      </c>
      <c r="J26" s="34">
        <f>H26+I26</f>
        <v>3040</v>
      </c>
      <c r="K26" s="34"/>
      <c r="L26" s="34">
        <f>J26+K26</f>
        <v>3040</v>
      </c>
      <c r="M26" s="34">
        <f>1520+3040</f>
        <v>4560</v>
      </c>
      <c r="N26" s="35">
        <f>L26+M26</f>
        <v>7600</v>
      </c>
      <c r="O26" s="90"/>
      <c r="P26" s="91">
        <f>3040+1520+1520</f>
        <v>6080</v>
      </c>
      <c r="Q26" s="92">
        <f>1520+1520+1520+1520</f>
        <v>6080</v>
      </c>
      <c r="R26" s="91">
        <f>N26-P26</f>
        <v>1520</v>
      </c>
    </row>
    <row r="27" spans="1:49" s="73" customFormat="1" ht="21.75" customHeight="1" x14ac:dyDescent="0.25">
      <c r="A27" s="67" t="s">
        <v>23</v>
      </c>
      <c r="B27" s="68" t="s">
        <v>20</v>
      </c>
      <c r="C27" s="69">
        <v>244</v>
      </c>
      <c r="D27" s="69">
        <v>221</v>
      </c>
      <c r="E27" s="70" t="s">
        <v>39</v>
      </c>
      <c r="F27" s="71">
        <f t="shared" ref="F27:N27" si="9">SUM(F24:F26)</f>
        <v>7900</v>
      </c>
      <c r="G27" s="71">
        <f t="shared" si="9"/>
        <v>0</v>
      </c>
      <c r="H27" s="71">
        <f t="shared" si="9"/>
        <v>7900</v>
      </c>
      <c r="I27" s="71">
        <f t="shared" si="9"/>
        <v>3040</v>
      </c>
      <c r="J27" s="71">
        <f t="shared" si="9"/>
        <v>10940</v>
      </c>
      <c r="K27" s="71">
        <f t="shared" si="9"/>
        <v>0</v>
      </c>
      <c r="L27" s="71">
        <f t="shared" si="9"/>
        <v>10940</v>
      </c>
      <c r="M27" s="71">
        <f t="shared" si="9"/>
        <v>4413.24</v>
      </c>
      <c r="N27" s="71">
        <f t="shared" si="9"/>
        <v>15353.24</v>
      </c>
      <c r="O27" s="72"/>
      <c r="P27" s="71">
        <f>SUM(P24:P26)</f>
        <v>13653.869999999999</v>
      </c>
      <c r="Q27" s="71">
        <f>SUM(Q24:Q26)</f>
        <v>13077.02</v>
      </c>
      <c r="R27" s="71">
        <f>SUM(R24:R26)</f>
        <v>1699.37</v>
      </c>
      <c r="S27" s="93"/>
    </row>
    <row r="28" spans="1:49" s="38" customFormat="1" x14ac:dyDescent="0.25">
      <c r="A28" s="30" t="s">
        <v>23</v>
      </c>
      <c r="B28" s="31" t="s">
        <v>20</v>
      </c>
      <c r="C28" s="94">
        <v>244</v>
      </c>
      <c r="D28" s="32">
        <v>222</v>
      </c>
      <c r="E28" s="33" t="s">
        <v>40</v>
      </c>
      <c r="F28" s="34"/>
      <c r="G28" s="34"/>
      <c r="H28" s="34">
        <f>F28+G28</f>
        <v>0</v>
      </c>
      <c r="I28" s="34"/>
      <c r="J28" s="34">
        <f>H28+I28</f>
        <v>0</v>
      </c>
      <c r="K28" s="34"/>
      <c r="L28" s="34">
        <f>J28+K28</f>
        <v>0</v>
      </c>
      <c r="M28" s="34"/>
      <c r="N28" s="35">
        <f>L28+M28</f>
        <v>0</v>
      </c>
      <c r="O28" s="95"/>
      <c r="P28" s="96"/>
      <c r="Q28" s="37"/>
      <c r="R28" s="34">
        <f>J28-P28</f>
        <v>0</v>
      </c>
    </row>
    <row r="29" spans="1:49" s="73" customFormat="1" ht="24.75" customHeight="1" x14ac:dyDescent="0.25">
      <c r="A29" s="67" t="s">
        <v>23</v>
      </c>
      <c r="B29" s="97" t="s">
        <v>20</v>
      </c>
      <c r="C29" s="69">
        <v>244</v>
      </c>
      <c r="D29" s="69">
        <v>222</v>
      </c>
      <c r="E29" s="98" t="s">
        <v>41</v>
      </c>
      <c r="F29" s="71">
        <f t="shared" ref="F29:N29" si="10">F28</f>
        <v>0</v>
      </c>
      <c r="G29" s="71">
        <f t="shared" si="10"/>
        <v>0</v>
      </c>
      <c r="H29" s="71">
        <f t="shared" si="10"/>
        <v>0</v>
      </c>
      <c r="I29" s="71">
        <f t="shared" si="10"/>
        <v>0</v>
      </c>
      <c r="J29" s="71">
        <f t="shared" si="10"/>
        <v>0</v>
      </c>
      <c r="K29" s="71">
        <f t="shared" si="10"/>
        <v>0</v>
      </c>
      <c r="L29" s="71">
        <f t="shared" si="10"/>
        <v>0</v>
      </c>
      <c r="M29" s="71">
        <f t="shared" si="10"/>
        <v>0</v>
      </c>
      <c r="N29" s="71">
        <f t="shared" si="10"/>
        <v>0</v>
      </c>
      <c r="O29" s="72"/>
      <c r="P29" s="71">
        <f>P28</f>
        <v>0</v>
      </c>
      <c r="Q29" s="71">
        <f>Q28</f>
        <v>0</v>
      </c>
      <c r="R29" s="71">
        <f>R28</f>
        <v>0</v>
      </c>
      <c r="S29" s="93"/>
    </row>
    <row r="30" spans="1:49" s="38" customFormat="1" ht="50.25" customHeight="1" x14ac:dyDescent="0.25">
      <c r="A30" s="30" t="s">
        <v>23</v>
      </c>
      <c r="B30" s="31" t="s">
        <v>20</v>
      </c>
      <c r="C30" s="32">
        <v>247</v>
      </c>
      <c r="D30" s="32">
        <v>223</v>
      </c>
      <c r="E30" s="33" t="s">
        <v>42</v>
      </c>
      <c r="F30" s="99">
        <v>2989358</v>
      </c>
      <c r="G30" s="34"/>
      <c r="H30" s="34">
        <f>F30+G30</f>
        <v>2989358</v>
      </c>
      <c r="I30" s="34"/>
      <c r="J30" s="34">
        <f>H30+I30</f>
        <v>2989358</v>
      </c>
      <c r="K30" s="34"/>
      <c r="L30" s="34">
        <f>J30+K30</f>
        <v>2989358</v>
      </c>
      <c r="M30" s="34"/>
      <c r="N30" s="35">
        <f>L30+M30</f>
        <v>2989358</v>
      </c>
      <c r="O30" s="324" t="s">
        <v>43</v>
      </c>
      <c r="P30" s="319">
        <v>2989358</v>
      </c>
      <c r="Q30" s="328">
        <f>461300+485633.54+395340.91+315053.54+280472.44+181321.03+1220.3+23.64+2848.65+204425.34</f>
        <v>2327639.3899999997</v>
      </c>
      <c r="R30" s="319">
        <f>N30+N31-P30</f>
        <v>0</v>
      </c>
    </row>
    <row r="31" spans="1:49" s="38" customFormat="1" ht="50.25" customHeight="1" x14ac:dyDescent="0.25">
      <c r="A31" s="30" t="s">
        <v>23</v>
      </c>
      <c r="B31" s="31" t="s">
        <v>20</v>
      </c>
      <c r="C31" s="32">
        <v>247</v>
      </c>
      <c r="D31" s="32">
        <v>223</v>
      </c>
      <c r="E31" s="33" t="s">
        <v>44</v>
      </c>
      <c r="F31" s="99">
        <v>0</v>
      </c>
      <c r="G31" s="34"/>
      <c r="H31" s="34">
        <f>F31+G31</f>
        <v>0</v>
      </c>
      <c r="I31" s="34"/>
      <c r="J31" s="34">
        <f>H31+I31</f>
        <v>0</v>
      </c>
      <c r="K31" s="34"/>
      <c r="L31" s="34">
        <f>J31+K31</f>
        <v>0</v>
      </c>
      <c r="M31" s="34"/>
      <c r="N31" s="35">
        <f>L31+M31</f>
        <v>0</v>
      </c>
      <c r="O31" s="325"/>
      <c r="P31" s="320"/>
      <c r="Q31" s="329"/>
      <c r="R31" s="320"/>
    </row>
    <row r="32" spans="1:49" s="38" customFormat="1" ht="76.5" customHeight="1" x14ac:dyDescent="0.25">
      <c r="A32" s="30" t="s">
        <v>23</v>
      </c>
      <c r="B32" s="31" t="s">
        <v>20</v>
      </c>
      <c r="C32" s="32">
        <v>247</v>
      </c>
      <c r="D32" s="32">
        <v>223</v>
      </c>
      <c r="E32" s="33" t="s">
        <v>45</v>
      </c>
      <c r="F32" s="99">
        <v>388293</v>
      </c>
      <c r="G32" s="34"/>
      <c r="H32" s="34">
        <f>F32+G32</f>
        <v>388293</v>
      </c>
      <c r="I32" s="34"/>
      <c r="J32" s="34">
        <f>H32+I32</f>
        <v>388293</v>
      </c>
      <c r="K32" s="34"/>
      <c r="L32" s="34">
        <f>J32+K32</f>
        <v>388293</v>
      </c>
      <c r="M32" s="34"/>
      <c r="N32" s="35">
        <f>L32+M32</f>
        <v>388293</v>
      </c>
      <c r="O32" s="95" t="s">
        <v>46</v>
      </c>
      <c r="P32" s="34">
        <v>388293</v>
      </c>
      <c r="Q32" s="37">
        <f>47300.2+30916.48+51306.71+36049.62+36651.54+17583.89+18151.19+15992.71+8891.58+30585.83+32491.69</f>
        <v>325921.44</v>
      </c>
      <c r="R32" s="34">
        <f>N32-P32</f>
        <v>0</v>
      </c>
    </row>
    <row r="33" spans="1:21" s="73" customFormat="1" ht="26.25" customHeight="1" x14ac:dyDescent="0.25">
      <c r="A33" s="67" t="s">
        <v>23</v>
      </c>
      <c r="B33" s="97" t="s">
        <v>20</v>
      </c>
      <c r="C33" s="69">
        <v>247</v>
      </c>
      <c r="D33" s="69">
        <v>223</v>
      </c>
      <c r="E33" s="98" t="s">
        <v>47</v>
      </c>
      <c r="F33" s="71">
        <f t="shared" ref="F33:N33" si="11">F30+F31+F32</f>
        <v>3377651</v>
      </c>
      <c r="G33" s="71">
        <f t="shared" si="11"/>
        <v>0</v>
      </c>
      <c r="H33" s="71">
        <f t="shared" si="11"/>
        <v>3377651</v>
      </c>
      <c r="I33" s="71">
        <f t="shared" si="11"/>
        <v>0</v>
      </c>
      <c r="J33" s="71">
        <f t="shared" si="11"/>
        <v>3377651</v>
      </c>
      <c r="K33" s="71">
        <f t="shared" si="11"/>
        <v>0</v>
      </c>
      <c r="L33" s="71">
        <f t="shared" si="11"/>
        <v>3377651</v>
      </c>
      <c r="M33" s="71">
        <f t="shared" si="11"/>
        <v>0</v>
      </c>
      <c r="N33" s="71">
        <f t="shared" si="11"/>
        <v>3377651</v>
      </c>
      <c r="O33" s="72"/>
      <c r="P33" s="71">
        <f>P30+P31+P32</f>
        <v>3377651</v>
      </c>
      <c r="Q33" s="71">
        <f>Q30+Q31+Q32</f>
        <v>2653560.8299999996</v>
      </c>
      <c r="R33" s="71">
        <f>R30+R31+R32</f>
        <v>0</v>
      </c>
    </row>
    <row r="34" spans="1:21" s="38" customFormat="1" ht="52.5" customHeight="1" x14ac:dyDescent="0.25">
      <c r="A34" s="30" t="s">
        <v>23</v>
      </c>
      <c r="B34" s="31" t="s">
        <v>20</v>
      </c>
      <c r="C34" s="32">
        <v>244</v>
      </c>
      <c r="D34" s="32">
        <v>223</v>
      </c>
      <c r="E34" s="33" t="s">
        <v>48</v>
      </c>
      <c r="F34" s="34">
        <v>19849</v>
      </c>
      <c r="G34" s="34"/>
      <c r="H34" s="34">
        <f>F34+G34</f>
        <v>19849</v>
      </c>
      <c r="I34" s="34"/>
      <c r="J34" s="34">
        <f>H34+I34</f>
        <v>19849</v>
      </c>
      <c r="K34" s="34"/>
      <c r="L34" s="34">
        <f>J34+K34</f>
        <v>19849</v>
      </c>
      <c r="M34" s="35"/>
      <c r="N34" s="35">
        <f>L34+M34</f>
        <v>19849</v>
      </c>
      <c r="O34" s="324" t="s">
        <v>49</v>
      </c>
      <c r="P34" s="326">
        <v>34239</v>
      </c>
      <c r="Q34" s="328">
        <f>2634.06+2958.25+2147.77+2350.39+8064.28+932.05+1377.82+1175.2+2066.72+3525.59</f>
        <v>27232.13</v>
      </c>
      <c r="R34" s="330">
        <f>N34+N35-P34</f>
        <v>0</v>
      </c>
    </row>
    <row r="35" spans="1:21" s="38" customFormat="1" ht="53.25" customHeight="1" x14ac:dyDescent="0.25">
      <c r="A35" s="30" t="s">
        <v>23</v>
      </c>
      <c r="B35" s="31" t="s">
        <v>20</v>
      </c>
      <c r="C35" s="32">
        <v>244</v>
      </c>
      <c r="D35" s="32">
        <v>223</v>
      </c>
      <c r="E35" s="33" t="s">
        <v>50</v>
      </c>
      <c r="F35" s="34">
        <v>14390</v>
      </c>
      <c r="G35" s="34"/>
      <c r="H35" s="34">
        <f>F35+G35</f>
        <v>14390</v>
      </c>
      <c r="I35" s="34"/>
      <c r="J35" s="34">
        <f>H35+I35</f>
        <v>14390</v>
      </c>
      <c r="K35" s="34"/>
      <c r="L35" s="34">
        <f>J35+K35</f>
        <v>14390</v>
      </c>
      <c r="M35" s="34"/>
      <c r="N35" s="35">
        <f>L35+M35</f>
        <v>14390</v>
      </c>
      <c r="O35" s="325"/>
      <c r="P35" s="327"/>
      <c r="Q35" s="329"/>
      <c r="R35" s="331"/>
    </row>
    <row r="36" spans="1:21" s="38" customFormat="1" ht="69" customHeight="1" x14ac:dyDescent="0.25">
      <c r="A36" s="30" t="s">
        <v>23</v>
      </c>
      <c r="B36" s="31" t="s">
        <v>20</v>
      </c>
      <c r="C36" s="32">
        <v>244</v>
      </c>
      <c r="D36" s="32">
        <v>223</v>
      </c>
      <c r="E36" s="33" t="s">
        <v>51</v>
      </c>
      <c r="F36" s="34">
        <v>90116</v>
      </c>
      <c r="G36" s="34">
        <v>6420.04</v>
      </c>
      <c r="H36" s="34">
        <f>F36+G36</f>
        <v>96536.04</v>
      </c>
      <c r="I36" s="34"/>
      <c r="J36" s="34">
        <f>H36+I36</f>
        <v>96536.04</v>
      </c>
      <c r="K36" s="34"/>
      <c r="L36" s="34">
        <f>J36+K36</f>
        <v>96536.04</v>
      </c>
      <c r="M36" s="34"/>
      <c r="N36" s="35">
        <f>L36+M36</f>
        <v>96536.04</v>
      </c>
      <c r="O36" s="95" t="s">
        <v>52</v>
      </c>
      <c r="P36" s="34">
        <v>96536.04</v>
      </c>
      <c r="Q36" s="37">
        <f>8190.92-1350+8044.66+8044.66+8044.66+8044.66+8044.66+8044.66+8044.66+8044.66+8044.66+8044.66</f>
        <v>87287.520000000019</v>
      </c>
      <c r="R36" s="34">
        <f>N36-P36</f>
        <v>0</v>
      </c>
      <c r="S36" s="100" t="s">
        <v>53</v>
      </c>
      <c r="U36" s="38">
        <f>H36/12</f>
        <v>8044.6699999999992</v>
      </c>
    </row>
    <row r="37" spans="1:21" s="73" customFormat="1" x14ac:dyDescent="0.25">
      <c r="A37" s="67" t="s">
        <v>23</v>
      </c>
      <c r="B37" s="101" t="s">
        <v>20</v>
      </c>
      <c r="C37" s="69">
        <v>244</v>
      </c>
      <c r="D37" s="69">
        <v>223</v>
      </c>
      <c r="E37" s="70" t="s">
        <v>47</v>
      </c>
      <c r="F37" s="71">
        <f t="shared" ref="F37:N37" si="12">SUM(F34:F36)</f>
        <v>124355</v>
      </c>
      <c r="G37" s="71">
        <f t="shared" si="12"/>
        <v>6420.04</v>
      </c>
      <c r="H37" s="71">
        <f t="shared" si="12"/>
        <v>130775.03999999999</v>
      </c>
      <c r="I37" s="71">
        <f t="shared" si="12"/>
        <v>0</v>
      </c>
      <c r="J37" s="71">
        <f t="shared" si="12"/>
        <v>130775.03999999999</v>
      </c>
      <c r="K37" s="71">
        <f t="shared" si="12"/>
        <v>0</v>
      </c>
      <c r="L37" s="71">
        <f t="shared" si="12"/>
        <v>130775.03999999999</v>
      </c>
      <c r="M37" s="71">
        <f t="shared" si="12"/>
        <v>0</v>
      </c>
      <c r="N37" s="71">
        <f t="shared" si="12"/>
        <v>130775.03999999999</v>
      </c>
      <c r="O37" s="72"/>
      <c r="P37" s="71">
        <f>SUM(P34:P36)</f>
        <v>130775.03999999999</v>
      </c>
      <c r="Q37" s="71">
        <f>SUM(Q34:Q36)</f>
        <v>114519.65000000002</v>
      </c>
      <c r="R37" s="71">
        <f>SUM(R34:R36)</f>
        <v>0</v>
      </c>
      <c r="S37" s="93"/>
    </row>
    <row r="38" spans="1:21" s="38" customFormat="1" x14ac:dyDescent="0.25">
      <c r="A38" s="30" t="s">
        <v>23</v>
      </c>
      <c r="B38" s="31" t="s">
        <v>20</v>
      </c>
      <c r="C38" s="102">
        <v>244</v>
      </c>
      <c r="D38" s="102">
        <v>225</v>
      </c>
      <c r="E38" s="103" t="s">
        <v>54</v>
      </c>
      <c r="F38" s="104">
        <v>6960</v>
      </c>
      <c r="G38" s="104">
        <v>984.16</v>
      </c>
      <c r="H38" s="104">
        <f t="shared" ref="H38:H60" si="13">F38+G38</f>
        <v>7944.16</v>
      </c>
      <c r="I38" s="104"/>
      <c r="J38" s="104">
        <f t="shared" ref="J38:J60" si="14">H38+I38</f>
        <v>7944.16</v>
      </c>
      <c r="K38" s="34"/>
      <c r="L38" s="34">
        <f t="shared" ref="L38:L60" si="15">J38+K38</f>
        <v>7944.16</v>
      </c>
      <c r="M38" s="34"/>
      <c r="N38" s="34">
        <f>L38+M38</f>
        <v>7944.16</v>
      </c>
      <c r="O38" s="332" t="s">
        <v>55</v>
      </c>
      <c r="P38" s="104">
        <v>7944.16</v>
      </c>
      <c r="Q38" s="37">
        <v>7944.16</v>
      </c>
      <c r="R38" s="104">
        <f>N38-P38</f>
        <v>0</v>
      </c>
      <c r="S38" s="335"/>
    </row>
    <row r="39" spans="1:21" s="38" customFormat="1" x14ac:dyDescent="0.25">
      <c r="A39" s="30" t="s">
        <v>23</v>
      </c>
      <c r="B39" s="31" t="s">
        <v>20</v>
      </c>
      <c r="C39" s="102">
        <v>244</v>
      </c>
      <c r="D39" s="102">
        <v>225</v>
      </c>
      <c r="E39" s="103" t="s">
        <v>56</v>
      </c>
      <c r="F39" s="104">
        <v>4690</v>
      </c>
      <c r="G39" s="104">
        <v>-282.60000000000002</v>
      </c>
      <c r="H39" s="104">
        <f t="shared" si="13"/>
        <v>4407.3999999999996</v>
      </c>
      <c r="I39" s="104"/>
      <c r="J39" s="104">
        <f t="shared" si="14"/>
        <v>4407.3999999999996</v>
      </c>
      <c r="K39" s="34">
        <v>-375.4</v>
      </c>
      <c r="L39" s="34">
        <f t="shared" si="15"/>
        <v>4031.9999999999995</v>
      </c>
      <c r="M39" s="34"/>
      <c r="N39" s="34">
        <f t="shared" ref="N39:N60" si="16">L39+M39</f>
        <v>4031.9999999999995</v>
      </c>
      <c r="O39" s="333"/>
      <c r="P39" s="104">
        <v>4032</v>
      </c>
      <c r="Q39" s="37">
        <f>336+336+336+336+336+336+336+336+336+336+336+336</f>
        <v>4032</v>
      </c>
      <c r="R39" s="104">
        <f t="shared" ref="R39:R44" si="17">N39-P39</f>
        <v>0</v>
      </c>
      <c r="S39" s="335"/>
    </row>
    <row r="40" spans="1:21" s="38" customFormat="1" ht="30" x14ac:dyDescent="0.25">
      <c r="A40" s="30" t="s">
        <v>23</v>
      </c>
      <c r="B40" s="31" t="s">
        <v>20</v>
      </c>
      <c r="C40" s="102">
        <v>244</v>
      </c>
      <c r="D40" s="102">
        <v>225</v>
      </c>
      <c r="E40" s="103" t="s">
        <v>57</v>
      </c>
      <c r="F40" s="104">
        <v>9080</v>
      </c>
      <c r="G40" s="104">
        <f>-984.16-767.42</f>
        <v>-1751.58</v>
      </c>
      <c r="H40" s="104">
        <f t="shared" si="13"/>
        <v>7328.42</v>
      </c>
      <c r="I40" s="104"/>
      <c r="J40" s="104">
        <f t="shared" si="14"/>
        <v>7328.42</v>
      </c>
      <c r="K40" s="34">
        <v>-424.6</v>
      </c>
      <c r="L40" s="34">
        <f t="shared" si="15"/>
        <v>6903.82</v>
      </c>
      <c r="M40" s="34">
        <v>-178.95</v>
      </c>
      <c r="N40" s="34">
        <f t="shared" si="16"/>
        <v>6724.87</v>
      </c>
      <c r="O40" s="333"/>
      <c r="P40" s="104">
        <v>6724.8</v>
      </c>
      <c r="Q40" s="37">
        <f>560.4+560.4+560.4+560.4+560.4+560.4+560.4+560.4+560.4+560.4+560.4+560.4</f>
        <v>6724.7999999999984</v>
      </c>
      <c r="R40" s="104">
        <f t="shared" si="17"/>
        <v>6.9999999999708962E-2</v>
      </c>
      <c r="S40" s="335"/>
    </row>
    <row r="41" spans="1:21" s="38" customFormat="1" x14ac:dyDescent="0.25">
      <c r="A41" s="30" t="s">
        <v>23</v>
      </c>
      <c r="B41" s="31" t="s">
        <v>20</v>
      </c>
      <c r="C41" s="102">
        <v>244</v>
      </c>
      <c r="D41" s="102">
        <v>225</v>
      </c>
      <c r="E41" s="103" t="s">
        <v>58</v>
      </c>
      <c r="F41" s="104">
        <v>1400</v>
      </c>
      <c r="G41" s="104">
        <v>767.42</v>
      </c>
      <c r="H41" s="104">
        <f t="shared" si="13"/>
        <v>2167.42</v>
      </c>
      <c r="I41" s="104"/>
      <c r="J41" s="104">
        <f t="shared" si="14"/>
        <v>2167.42</v>
      </c>
      <c r="K41" s="34"/>
      <c r="L41" s="34">
        <f t="shared" si="15"/>
        <v>2167.42</v>
      </c>
      <c r="M41" s="34"/>
      <c r="N41" s="34">
        <f t="shared" si="16"/>
        <v>2167.42</v>
      </c>
      <c r="O41" s="333"/>
      <c r="P41" s="104">
        <v>2167.42</v>
      </c>
      <c r="Q41" s="37">
        <v>2167.42</v>
      </c>
      <c r="R41" s="104">
        <f t="shared" si="17"/>
        <v>0</v>
      </c>
      <c r="S41" s="335"/>
    </row>
    <row r="42" spans="1:21" s="38" customFormat="1" x14ac:dyDescent="0.25">
      <c r="A42" s="30" t="s">
        <v>23</v>
      </c>
      <c r="B42" s="31" t="s">
        <v>20</v>
      </c>
      <c r="C42" s="102">
        <v>244</v>
      </c>
      <c r="D42" s="102">
        <v>225</v>
      </c>
      <c r="E42" s="103" t="s">
        <v>59</v>
      </c>
      <c r="F42" s="104">
        <v>15590</v>
      </c>
      <c r="G42" s="104">
        <f>-8538-2528</f>
        <v>-11066</v>
      </c>
      <c r="H42" s="104">
        <f t="shared" si="13"/>
        <v>4524</v>
      </c>
      <c r="I42" s="104"/>
      <c r="J42" s="104">
        <f t="shared" si="14"/>
        <v>4524</v>
      </c>
      <c r="K42" s="34"/>
      <c r="L42" s="34">
        <f t="shared" si="15"/>
        <v>4524</v>
      </c>
      <c r="M42" s="34"/>
      <c r="N42" s="34">
        <f t="shared" si="16"/>
        <v>4524</v>
      </c>
      <c r="O42" s="333"/>
      <c r="P42" s="104">
        <v>4523.2</v>
      </c>
      <c r="Q42" s="37">
        <f>1130.8+1130.8+1130.8+1130.8</f>
        <v>4523.2</v>
      </c>
      <c r="R42" s="104">
        <f t="shared" si="17"/>
        <v>0.8000000000001819</v>
      </c>
      <c r="S42" s="335"/>
    </row>
    <row r="43" spans="1:21" s="38" customFormat="1" ht="30" hidden="1" x14ac:dyDescent="0.25">
      <c r="A43" s="30" t="s">
        <v>23</v>
      </c>
      <c r="B43" s="31" t="s">
        <v>20</v>
      </c>
      <c r="C43" s="102">
        <v>244</v>
      </c>
      <c r="D43" s="102">
        <v>225</v>
      </c>
      <c r="E43" s="103" t="s">
        <v>60</v>
      </c>
      <c r="F43" s="104"/>
      <c r="G43" s="104"/>
      <c r="H43" s="104">
        <f t="shared" si="13"/>
        <v>0</v>
      </c>
      <c r="I43" s="104"/>
      <c r="J43" s="104">
        <f t="shared" si="14"/>
        <v>0</v>
      </c>
      <c r="K43" s="34"/>
      <c r="L43" s="34">
        <f t="shared" si="15"/>
        <v>0</v>
      </c>
      <c r="M43" s="34"/>
      <c r="N43" s="34">
        <f t="shared" si="16"/>
        <v>0</v>
      </c>
      <c r="O43" s="333"/>
      <c r="P43" s="104"/>
      <c r="Q43" s="37"/>
      <c r="R43" s="104">
        <f t="shared" si="17"/>
        <v>0</v>
      </c>
      <c r="S43" s="335"/>
    </row>
    <row r="44" spans="1:21" s="38" customFormat="1" x14ac:dyDescent="0.25">
      <c r="A44" s="30" t="s">
        <v>23</v>
      </c>
      <c r="B44" s="31" t="s">
        <v>20</v>
      </c>
      <c r="C44" s="102">
        <v>244</v>
      </c>
      <c r="D44" s="102">
        <v>225</v>
      </c>
      <c r="E44" s="103" t="s">
        <v>61</v>
      </c>
      <c r="F44" s="104">
        <v>9350</v>
      </c>
      <c r="G44" s="104">
        <v>-2927</v>
      </c>
      <c r="H44" s="104">
        <f t="shared" si="13"/>
        <v>6423</v>
      </c>
      <c r="I44" s="104"/>
      <c r="J44" s="104">
        <f t="shared" si="14"/>
        <v>6423</v>
      </c>
      <c r="K44" s="34"/>
      <c r="L44" s="34">
        <f t="shared" si="15"/>
        <v>6423</v>
      </c>
      <c r="M44" s="34"/>
      <c r="N44" s="34">
        <f t="shared" si="16"/>
        <v>6423</v>
      </c>
      <c r="O44" s="334"/>
      <c r="P44" s="104">
        <f>2726.88+3695.16</f>
        <v>6422.04</v>
      </c>
      <c r="Q44" s="37">
        <f>228+228+228+228+1847.58+228+228+228+228+228+1847.58+228+228+218.88</f>
        <v>6422.04</v>
      </c>
      <c r="R44" s="104">
        <f t="shared" si="17"/>
        <v>0.96000000000003638</v>
      </c>
      <c r="S44" s="335"/>
    </row>
    <row r="45" spans="1:21" s="38" customFormat="1" ht="63.75" hidden="1" customHeight="1" x14ac:dyDescent="0.25">
      <c r="A45" s="30" t="s">
        <v>23</v>
      </c>
      <c r="B45" s="31" t="s">
        <v>20</v>
      </c>
      <c r="C45" s="102">
        <v>244</v>
      </c>
      <c r="D45" s="102">
        <v>225</v>
      </c>
      <c r="E45" s="105" t="s">
        <v>62</v>
      </c>
      <c r="F45" s="34"/>
      <c r="G45" s="34"/>
      <c r="H45" s="34">
        <f t="shared" si="13"/>
        <v>0</v>
      </c>
      <c r="I45" s="34"/>
      <c r="J45" s="34">
        <f t="shared" si="14"/>
        <v>0</v>
      </c>
      <c r="K45" s="34"/>
      <c r="L45" s="34">
        <f t="shared" si="15"/>
        <v>0</v>
      </c>
      <c r="M45" s="34"/>
      <c r="N45" s="34">
        <f t="shared" si="16"/>
        <v>0</v>
      </c>
      <c r="O45" s="90"/>
      <c r="P45" s="34"/>
      <c r="Q45" s="37"/>
      <c r="R45" s="34">
        <f t="shared" ref="R45" si="18">H45-P45</f>
        <v>0</v>
      </c>
    </row>
    <row r="46" spans="1:21" s="38" customFormat="1" x14ac:dyDescent="0.25">
      <c r="A46" s="30" t="s">
        <v>23</v>
      </c>
      <c r="B46" s="31" t="s">
        <v>20</v>
      </c>
      <c r="C46" s="102">
        <v>244</v>
      </c>
      <c r="D46" s="102">
        <v>225</v>
      </c>
      <c r="E46" s="33" t="s">
        <v>63</v>
      </c>
      <c r="F46" s="34">
        <v>1500</v>
      </c>
      <c r="G46" s="34"/>
      <c r="H46" s="34">
        <f t="shared" si="13"/>
        <v>1500</v>
      </c>
      <c r="I46" s="34"/>
      <c r="J46" s="34">
        <f t="shared" si="14"/>
        <v>1500</v>
      </c>
      <c r="K46" s="34"/>
      <c r="L46" s="34">
        <f t="shared" si="15"/>
        <v>1500</v>
      </c>
      <c r="M46" s="34">
        <v>6720</v>
      </c>
      <c r="N46" s="34">
        <f t="shared" si="16"/>
        <v>8220</v>
      </c>
      <c r="O46" s="317" t="s">
        <v>64</v>
      </c>
      <c r="P46" s="319">
        <v>9420</v>
      </c>
      <c r="Q46" s="37">
        <v>8020</v>
      </c>
      <c r="R46" s="319">
        <f>N46+N47-P46</f>
        <v>0</v>
      </c>
      <c r="S46" s="38" t="s">
        <v>65</v>
      </c>
    </row>
    <row r="47" spans="1:21" s="38" customFormat="1" x14ac:dyDescent="0.25">
      <c r="A47" s="30" t="s">
        <v>23</v>
      </c>
      <c r="B47" s="31" t="s">
        <v>20</v>
      </c>
      <c r="C47" s="102">
        <v>244</v>
      </c>
      <c r="D47" s="102">
        <v>225</v>
      </c>
      <c r="E47" s="33" t="s">
        <v>66</v>
      </c>
      <c r="F47" s="34">
        <v>1200</v>
      </c>
      <c r="G47" s="34"/>
      <c r="H47" s="34">
        <f t="shared" si="13"/>
        <v>1200</v>
      </c>
      <c r="I47" s="34"/>
      <c r="J47" s="34">
        <f t="shared" si="14"/>
        <v>1200</v>
      </c>
      <c r="K47" s="34"/>
      <c r="L47" s="34">
        <f t="shared" si="15"/>
        <v>1200</v>
      </c>
      <c r="M47" s="34"/>
      <c r="N47" s="34">
        <f t="shared" si="16"/>
        <v>1200</v>
      </c>
      <c r="O47" s="318"/>
      <c r="P47" s="320"/>
      <c r="Q47" s="37">
        <v>1400</v>
      </c>
      <c r="R47" s="320"/>
    </row>
    <row r="48" spans="1:21" s="38" customFormat="1" ht="34.5" hidden="1" customHeight="1" x14ac:dyDescent="0.25">
      <c r="A48" s="30" t="s">
        <v>23</v>
      </c>
      <c r="B48" s="31" t="s">
        <v>20</v>
      </c>
      <c r="C48" s="102">
        <v>244</v>
      </c>
      <c r="D48" s="102">
        <v>225</v>
      </c>
      <c r="E48" s="33" t="s">
        <v>67</v>
      </c>
      <c r="F48" s="34"/>
      <c r="G48" s="34"/>
      <c r="H48" s="34">
        <f t="shared" si="13"/>
        <v>0</v>
      </c>
      <c r="I48" s="34"/>
      <c r="J48" s="34">
        <f t="shared" si="14"/>
        <v>0</v>
      </c>
      <c r="K48" s="34"/>
      <c r="L48" s="34">
        <f t="shared" si="15"/>
        <v>0</v>
      </c>
      <c r="M48" s="34"/>
      <c r="N48" s="34">
        <f t="shared" si="16"/>
        <v>0</v>
      </c>
      <c r="O48" s="95"/>
      <c r="P48" s="34"/>
      <c r="Q48" s="37"/>
      <c r="R48" s="34">
        <f t="shared" ref="R48:R51" si="19">L48-P48</f>
        <v>0</v>
      </c>
    </row>
    <row r="49" spans="1:21" s="38" customFormat="1" ht="24.75" hidden="1" customHeight="1" x14ac:dyDescent="0.25">
      <c r="A49" s="30" t="s">
        <v>23</v>
      </c>
      <c r="B49" s="31" t="s">
        <v>20</v>
      </c>
      <c r="C49" s="102">
        <v>244</v>
      </c>
      <c r="D49" s="102">
        <v>225</v>
      </c>
      <c r="E49" s="33" t="s">
        <v>68</v>
      </c>
      <c r="F49" s="34"/>
      <c r="G49" s="34"/>
      <c r="H49" s="34">
        <f t="shared" si="13"/>
        <v>0</v>
      </c>
      <c r="I49" s="34"/>
      <c r="J49" s="34">
        <f t="shared" si="14"/>
        <v>0</v>
      </c>
      <c r="K49" s="34"/>
      <c r="L49" s="34">
        <f t="shared" si="15"/>
        <v>0</v>
      </c>
      <c r="M49" s="34"/>
      <c r="N49" s="34">
        <f t="shared" si="16"/>
        <v>0</v>
      </c>
      <c r="O49" s="95"/>
      <c r="P49" s="34"/>
      <c r="Q49" s="37"/>
      <c r="R49" s="34">
        <f t="shared" si="19"/>
        <v>0</v>
      </c>
    </row>
    <row r="50" spans="1:21" s="38" customFormat="1" ht="24.75" hidden="1" customHeight="1" x14ac:dyDescent="0.25">
      <c r="A50" s="30" t="s">
        <v>23</v>
      </c>
      <c r="B50" s="31" t="s">
        <v>20</v>
      </c>
      <c r="C50" s="102">
        <v>244</v>
      </c>
      <c r="D50" s="102">
        <v>225</v>
      </c>
      <c r="E50" s="33" t="s">
        <v>69</v>
      </c>
      <c r="F50" s="34"/>
      <c r="G50" s="34"/>
      <c r="H50" s="34">
        <f t="shared" si="13"/>
        <v>0</v>
      </c>
      <c r="I50" s="34"/>
      <c r="J50" s="34">
        <f t="shared" si="14"/>
        <v>0</v>
      </c>
      <c r="K50" s="34"/>
      <c r="L50" s="34">
        <f t="shared" si="15"/>
        <v>0</v>
      </c>
      <c r="M50" s="34"/>
      <c r="N50" s="34">
        <f t="shared" si="16"/>
        <v>0</v>
      </c>
      <c r="O50" s="95"/>
      <c r="P50" s="34"/>
      <c r="Q50" s="37"/>
      <c r="R50" s="34">
        <f t="shared" si="19"/>
        <v>0</v>
      </c>
    </row>
    <row r="51" spans="1:21" s="38" customFormat="1" ht="24.75" hidden="1" customHeight="1" x14ac:dyDescent="0.25">
      <c r="A51" s="30" t="s">
        <v>23</v>
      </c>
      <c r="B51" s="31" t="s">
        <v>20</v>
      </c>
      <c r="C51" s="102">
        <v>244</v>
      </c>
      <c r="D51" s="102">
        <v>225</v>
      </c>
      <c r="E51" s="33" t="s">
        <v>70</v>
      </c>
      <c r="F51" s="34"/>
      <c r="G51" s="34"/>
      <c r="H51" s="34">
        <f t="shared" si="13"/>
        <v>0</v>
      </c>
      <c r="I51" s="34"/>
      <c r="J51" s="34">
        <f t="shared" si="14"/>
        <v>0</v>
      </c>
      <c r="K51" s="34"/>
      <c r="L51" s="34">
        <f t="shared" si="15"/>
        <v>0</v>
      </c>
      <c r="M51" s="34"/>
      <c r="N51" s="34">
        <f t="shared" si="16"/>
        <v>0</v>
      </c>
      <c r="O51" s="95"/>
      <c r="P51" s="34"/>
      <c r="Q51" s="37"/>
      <c r="R51" s="34">
        <f t="shared" si="19"/>
        <v>0</v>
      </c>
    </row>
    <row r="52" spans="1:21" s="38" customFormat="1" ht="104.25" customHeight="1" x14ac:dyDescent="0.25">
      <c r="A52" s="30" t="s">
        <v>23</v>
      </c>
      <c r="B52" s="31" t="s">
        <v>20</v>
      </c>
      <c r="C52" s="102">
        <v>244</v>
      </c>
      <c r="D52" s="102">
        <v>225</v>
      </c>
      <c r="E52" s="33" t="s">
        <v>71</v>
      </c>
      <c r="F52" s="34">
        <v>101500</v>
      </c>
      <c r="G52" s="34"/>
      <c r="H52" s="34">
        <f t="shared" si="13"/>
        <v>101500</v>
      </c>
      <c r="I52" s="34"/>
      <c r="J52" s="34">
        <f t="shared" si="14"/>
        <v>101500</v>
      </c>
      <c r="K52" s="34"/>
      <c r="L52" s="34">
        <f t="shared" si="15"/>
        <v>101500</v>
      </c>
      <c r="M52" s="35"/>
      <c r="N52" s="34">
        <f t="shared" si="16"/>
        <v>101500</v>
      </c>
      <c r="O52" s="95" t="s">
        <v>72</v>
      </c>
      <c r="P52" s="34">
        <v>101506.08</v>
      </c>
      <c r="Q52" s="37">
        <f>8100.96+8458.84+8458.84+8458.84+8458.84+8458.84+8458.84+8458.84+8458.84+8458.84+8458.84+8458.84</f>
        <v>101148.19999999997</v>
      </c>
      <c r="R52" s="34">
        <f>N52-P52</f>
        <v>-6.0800000000017462</v>
      </c>
    </row>
    <row r="53" spans="1:21" s="38" customFormat="1" ht="93.75" customHeight="1" x14ac:dyDescent="0.25">
      <c r="A53" s="30" t="s">
        <v>23</v>
      </c>
      <c r="B53" s="31" t="s">
        <v>20</v>
      </c>
      <c r="C53" s="94">
        <v>244</v>
      </c>
      <c r="D53" s="32">
        <v>225</v>
      </c>
      <c r="E53" s="33" t="s">
        <v>73</v>
      </c>
      <c r="F53" s="34">
        <v>66000</v>
      </c>
      <c r="G53" s="34"/>
      <c r="H53" s="34">
        <f t="shared" si="13"/>
        <v>66000</v>
      </c>
      <c r="I53" s="34"/>
      <c r="J53" s="34">
        <f t="shared" si="14"/>
        <v>66000</v>
      </c>
      <c r="K53" s="34"/>
      <c r="L53" s="34">
        <f t="shared" si="15"/>
        <v>66000</v>
      </c>
      <c r="M53" s="34"/>
      <c r="N53" s="34">
        <f t="shared" si="16"/>
        <v>66000</v>
      </c>
      <c r="O53" s="106" t="s">
        <v>74</v>
      </c>
      <c r="P53" s="107">
        <f>33000+33000</f>
        <v>66000</v>
      </c>
      <c r="Q53" s="37">
        <f>5000+2750+2750+2750+2750+2750+2750+2750+2750+2750+2750+2750+2750+2750+2750+2750+2750+2750+2750+2750+2750</f>
        <v>60000</v>
      </c>
      <c r="R53" s="34">
        <f t="shared" ref="R53:R60" si="20">N53-P53</f>
        <v>0</v>
      </c>
    </row>
    <row r="54" spans="1:21" s="38" customFormat="1" hidden="1" x14ac:dyDescent="0.25">
      <c r="A54" s="30" t="s">
        <v>23</v>
      </c>
      <c r="B54" s="31" t="s">
        <v>75</v>
      </c>
      <c r="C54" s="94">
        <v>244</v>
      </c>
      <c r="D54" s="32">
        <v>225</v>
      </c>
      <c r="E54" s="33" t="s">
        <v>76</v>
      </c>
      <c r="F54" s="34"/>
      <c r="G54" s="34"/>
      <c r="H54" s="34">
        <f t="shared" si="13"/>
        <v>0</v>
      </c>
      <c r="I54" s="34"/>
      <c r="J54" s="34">
        <f t="shared" si="14"/>
        <v>0</v>
      </c>
      <c r="K54" s="34"/>
      <c r="L54" s="34">
        <f t="shared" si="15"/>
        <v>0</v>
      </c>
      <c r="M54" s="34"/>
      <c r="N54" s="34">
        <f t="shared" si="16"/>
        <v>0</v>
      </c>
      <c r="O54" s="106"/>
      <c r="P54" s="107"/>
      <c r="Q54" s="37"/>
      <c r="R54" s="34">
        <f t="shared" si="20"/>
        <v>0</v>
      </c>
    </row>
    <row r="55" spans="1:21" s="38" customFormat="1" ht="30" x14ac:dyDescent="0.25">
      <c r="A55" s="30" t="s">
        <v>23</v>
      </c>
      <c r="B55" s="31" t="s">
        <v>75</v>
      </c>
      <c r="C55" s="94">
        <v>244</v>
      </c>
      <c r="D55" s="32">
        <v>225</v>
      </c>
      <c r="E55" s="33" t="s">
        <v>77</v>
      </c>
      <c r="F55" s="34"/>
      <c r="G55" s="34"/>
      <c r="H55" s="34"/>
      <c r="I55" s="34">
        <v>18500</v>
      </c>
      <c r="J55" s="34">
        <f t="shared" si="14"/>
        <v>18500</v>
      </c>
      <c r="K55" s="34"/>
      <c r="L55" s="34">
        <f t="shared" si="15"/>
        <v>18500</v>
      </c>
      <c r="M55" s="34"/>
      <c r="N55" s="34">
        <f t="shared" si="16"/>
        <v>18500</v>
      </c>
      <c r="O55" s="106" t="s">
        <v>78</v>
      </c>
      <c r="P55" s="107">
        <v>18500</v>
      </c>
      <c r="Q55" s="37">
        <v>18500</v>
      </c>
      <c r="R55" s="34">
        <f t="shared" si="20"/>
        <v>0</v>
      </c>
      <c r="S55" s="38" t="s">
        <v>79</v>
      </c>
    </row>
    <row r="56" spans="1:21" s="38" customFormat="1" ht="75" x14ac:dyDescent="0.25">
      <c r="A56" s="30" t="s">
        <v>23</v>
      </c>
      <c r="B56" s="31" t="s">
        <v>80</v>
      </c>
      <c r="C56" s="94">
        <v>244</v>
      </c>
      <c r="D56" s="32">
        <v>225</v>
      </c>
      <c r="E56" s="33" t="s">
        <v>81</v>
      </c>
      <c r="F56" s="34"/>
      <c r="G56" s="34"/>
      <c r="H56" s="34"/>
      <c r="I56" s="34"/>
      <c r="J56" s="34"/>
      <c r="K56" s="34">
        <f>375.4+424.6</f>
        <v>800</v>
      </c>
      <c r="L56" s="34">
        <f t="shared" si="15"/>
        <v>800</v>
      </c>
      <c r="M56" s="34"/>
      <c r="N56" s="34">
        <f t="shared" si="16"/>
        <v>800</v>
      </c>
      <c r="O56" s="106" t="s">
        <v>82</v>
      </c>
      <c r="P56" s="107">
        <f>800</f>
        <v>800</v>
      </c>
      <c r="Q56" s="37">
        <f>100+100+100+100+100</f>
        <v>500</v>
      </c>
      <c r="R56" s="34">
        <f t="shared" si="20"/>
        <v>0</v>
      </c>
      <c r="S56" s="108"/>
    </row>
    <row r="57" spans="1:21" s="38" customFormat="1" ht="34.5" customHeight="1" x14ac:dyDescent="0.25">
      <c r="A57" s="30" t="s">
        <v>23</v>
      </c>
      <c r="B57" s="31" t="s">
        <v>20</v>
      </c>
      <c r="C57" s="94">
        <v>244</v>
      </c>
      <c r="D57" s="32">
        <v>225</v>
      </c>
      <c r="E57" s="33" t="s">
        <v>83</v>
      </c>
      <c r="F57" s="34">
        <v>5400</v>
      </c>
      <c r="G57" s="34"/>
      <c r="H57" s="34">
        <f t="shared" si="13"/>
        <v>5400</v>
      </c>
      <c r="I57" s="34"/>
      <c r="J57" s="34">
        <f t="shared" si="14"/>
        <v>5400</v>
      </c>
      <c r="K57" s="34"/>
      <c r="L57" s="34">
        <f t="shared" si="15"/>
        <v>5400</v>
      </c>
      <c r="M57" s="35">
        <v>420</v>
      </c>
      <c r="N57" s="34">
        <f t="shared" si="16"/>
        <v>5820</v>
      </c>
      <c r="O57" s="106" t="s">
        <v>84</v>
      </c>
      <c r="P57" s="107">
        <v>5820</v>
      </c>
      <c r="Q57" s="37">
        <v>5820</v>
      </c>
      <c r="R57" s="34">
        <f t="shared" si="20"/>
        <v>0</v>
      </c>
    </row>
    <row r="58" spans="1:21" s="38" customFormat="1" hidden="1" x14ac:dyDescent="0.25">
      <c r="A58" s="30" t="s">
        <v>23</v>
      </c>
      <c r="B58" s="31" t="s">
        <v>20</v>
      </c>
      <c r="C58" s="94">
        <v>244</v>
      </c>
      <c r="D58" s="32">
        <v>225</v>
      </c>
      <c r="E58" s="33" t="s">
        <v>85</v>
      </c>
      <c r="F58" s="34"/>
      <c r="G58" s="34"/>
      <c r="H58" s="34">
        <f t="shared" si="13"/>
        <v>0</v>
      </c>
      <c r="I58" s="34"/>
      <c r="J58" s="34">
        <f t="shared" si="14"/>
        <v>0</v>
      </c>
      <c r="K58" s="34"/>
      <c r="L58" s="34">
        <f t="shared" si="15"/>
        <v>0</v>
      </c>
      <c r="M58" s="35"/>
      <c r="N58" s="34">
        <f t="shared" si="16"/>
        <v>0</v>
      </c>
      <c r="O58" s="106"/>
      <c r="P58" s="107"/>
      <c r="Q58" s="37"/>
      <c r="R58" s="34">
        <f t="shared" si="20"/>
        <v>0</v>
      </c>
    </row>
    <row r="59" spans="1:21" s="38" customFormat="1" ht="38.25" hidden="1" customHeight="1" x14ac:dyDescent="0.25">
      <c r="A59" s="30" t="s">
        <v>23</v>
      </c>
      <c r="B59" s="31" t="s">
        <v>20</v>
      </c>
      <c r="C59" s="94">
        <v>244</v>
      </c>
      <c r="D59" s="32">
        <v>225</v>
      </c>
      <c r="E59" s="33" t="s">
        <v>86</v>
      </c>
      <c r="F59" s="34"/>
      <c r="G59" s="34"/>
      <c r="H59" s="34">
        <f t="shared" si="13"/>
        <v>0</v>
      </c>
      <c r="I59" s="34"/>
      <c r="J59" s="34">
        <f t="shared" si="14"/>
        <v>0</v>
      </c>
      <c r="K59" s="34"/>
      <c r="L59" s="34">
        <f t="shared" si="15"/>
        <v>0</v>
      </c>
      <c r="M59" s="34"/>
      <c r="N59" s="34">
        <f t="shared" si="16"/>
        <v>0</v>
      </c>
      <c r="O59" s="106"/>
      <c r="P59" s="107"/>
      <c r="Q59" s="37"/>
      <c r="R59" s="34">
        <f t="shared" si="20"/>
        <v>0</v>
      </c>
    </row>
    <row r="60" spans="1:21" s="38" customFormat="1" ht="25.5" hidden="1" customHeight="1" x14ac:dyDescent="0.25">
      <c r="A60" s="30" t="s">
        <v>23</v>
      </c>
      <c r="B60" s="31" t="s">
        <v>20</v>
      </c>
      <c r="C60" s="94">
        <v>244</v>
      </c>
      <c r="D60" s="32">
        <v>225</v>
      </c>
      <c r="E60" s="33" t="s">
        <v>87</v>
      </c>
      <c r="F60" s="34"/>
      <c r="G60" s="34"/>
      <c r="H60" s="34">
        <f t="shared" si="13"/>
        <v>0</v>
      </c>
      <c r="I60" s="34"/>
      <c r="J60" s="34">
        <f t="shared" si="14"/>
        <v>0</v>
      </c>
      <c r="K60" s="34"/>
      <c r="L60" s="34">
        <f t="shared" si="15"/>
        <v>0</v>
      </c>
      <c r="M60" s="34"/>
      <c r="N60" s="34">
        <f t="shared" si="16"/>
        <v>0</v>
      </c>
      <c r="O60" s="106"/>
      <c r="P60" s="107"/>
      <c r="Q60" s="37"/>
      <c r="R60" s="34">
        <f t="shared" si="20"/>
        <v>0</v>
      </c>
    </row>
    <row r="61" spans="1:21" s="73" customFormat="1" ht="44.25" customHeight="1" x14ac:dyDescent="0.25">
      <c r="A61" s="67" t="s">
        <v>23</v>
      </c>
      <c r="B61" s="101" t="s">
        <v>20</v>
      </c>
      <c r="C61" s="69">
        <v>244</v>
      </c>
      <c r="D61" s="69">
        <v>225</v>
      </c>
      <c r="E61" s="70" t="s">
        <v>88</v>
      </c>
      <c r="F61" s="71">
        <f t="shared" ref="F61:N61" si="21">SUM(F38:F60)</f>
        <v>222670</v>
      </c>
      <c r="G61" s="71">
        <f t="shared" si="21"/>
        <v>-14275.6</v>
      </c>
      <c r="H61" s="71">
        <f t="shared" si="21"/>
        <v>208394.4</v>
      </c>
      <c r="I61" s="71">
        <f t="shared" si="21"/>
        <v>18500</v>
      </c>
      <c r="J61" s="71">
        <f t="shared" si="21"/>
        <v>226894.4</v>
      </c>
      <c r="K61" s="71">
        <f t="shared" si="21"/>
        <v>0</v>
      </c>
      <c r="L61" s="71">
        <f t="shared" si="21"/>
        <v>226894.4</v>
      </c>
      <c r="M61" s="71">
        <f t="shared" si="21"/>
        <v>6961.05</v>
      </c>
      <c r="N61" s="71">
        <f t="shared" si="21"/>
        <v>233855.45</v>
      </c>
      <c r="O61" s="72"/>
      <c r="P61" s="71">
        <f>SUM(P38:P60)</f>
        <v>233859.7</v>
      </c>
      <c r="Q61" s="71">
        <f>SUM(Q38:Q60)</f>
        <v>227201.81999999995</v>
      </c>
      <c r="R61" s="71">
        <f>SUM(R38:R60)</f>
        <v>-4.250000000001819</v>
      </c>
    </row>
    <row r="62" spans="1:21" s="10" customFormat="1" ht="37.5" customHeight="1" x14ac:dyDescent="0.25">
      <c r="A62" s="109" t="s">
        <v>23</v>
      </c>
      <c r="B62" s="110" t="s">
        <v>20</v>
      </c>
      <c r="C62" s="102">
        <v>244</v>
      </c>
      <c r="D62" s="102">
        <v>226</v>
      </c>
      <c r="E62" s="33" t="s">
        <v>89</v>
      </c>
      <c r="F62" s="111">
        <v>2270</v>
      </c>
      <c r="G62" s="111">
        <f>17000+5246+8538</f>
        <v>30784</v>
      </c>
      <c r="H62" s="111">
        <f t="shared" ref="H62:H71" si="22">F62+G62</f>
        <v>33054</v>
      </c>
      <c r="I62" s="111">
        <v>3148</v>
      </c>
      <c r="J62" s="111">
        <f t="shared" ref="J62:J71" si="23">H62+I62</f>
        <v>36202</v>
      </c>
      <c r="K62" s="111"/>
      <c r="L62" s="111">
        <f t="shared" ref="L62:L71" si="24">J62+K62</f>
        <v>36202</v>
      </c>
      <c r="M62" s="111"/>
      <c r="N62" s="111">
        <f t="shared" ref="N62:N71" si="25">L62+M62</f>
        <v>36202</v>
      </c>
      <c r="O62" s="112" t="s">
        <v>90</v>
      </c>
      <c r="P62" s="111">
        <f>33054+3148</f>
        <v>36202</v>
      </c>
      <c r="Q62" s="113">
        <f>33054+3148</f>
        <v>36202</v>
      </c>
      <c r="R62" s="34">
        <f>N62-P62</f>
        <v>0</v>
      </c>
      <c r="U62" s="114"/>
    </row>
    <row r="63" spans="1:21" s="10" customFormat="1" ht="38.25" customHeight="1" x14ac:dyDescent="0.25">
      <c r="A63" s="109" t="s">
        <v>23</v>
      </c>
      <c r="B63" s="110" t="s">
        <v>20</v>
      </c>
      <c r="C63" s="102">
        <v>244</v>
      </c>
      <c r="D63" s="102">
        <v>226</v>
      </c>
      <c r="E63" s="33" t="s">
        <v>91</v>
      </c>
      <c r="F63" s="111">
        <v>189894</v>
      </c>
      <c r="G63" s="111">
        <f>6992.84-5246</f>
        <v>1746.8400000000001</v>
      </c>
      <c r="H63" s="111">
        <f t="shared" si="22"/>
        <v>191640.84</v>
      </c>
      <c r="I63" s="111">
        <v>-3148</v>
      </c>
      <c r="J63" s="111">
        <f t="shared" si="23"/>
        <v>188492.84</v>
      </c>
      <c r="K63" s="111"/>
      <c r="L63" s="111">
        <f t="shared" si="24"/>
        <v>188492.84</v>
      </c>
      <c r="M63" s="111">
        <v>5833.16</v>
      </c>
      <c r="N63" s="111">
        <f t="shared" si="25"/>
        <v>194326</v>
      </c>
      <c r="O63" s="112" t="s">
        <v>92</v>
      </c>
      <c r="P63" s="111">
        <f>180501+4274+9551</f>
        <v>194326</v>
      </c>
      <c r="Q63" s="113">
        <f>180501+4274+9551</f>
        <v>194326</v>
      </c>
      <c r="R63" s="34">
        <f t="shared" ref="R63:R71" si="26">N63-P63</f>
        <v>0</v>
      </c>
      <c r="S63" s="114"/>
    </row>
    <row r="64" spans="1:21" s="10" customFormat="1" ht="34.5" customHeight="1" x14ac:dyDescent="0.25">
      <c r="A64" s="109" t="s">
        <v>23</v>
      </c>
      <c r="B64" s="110" t="s">
        <v>20</v>
      </c>
      <c r="C64" s="102">
        <v>244</v>
      </c>
      <c r="D64" s="102">
        <v>226</v>
      </c>
      <c r="E64" s="33" t="s">
        <v>93</v>
      </c>
      <c r="F64" s="111">
        <v>28870</v>
      </c>
      <c r="G64" s="111"/>
      <c r="H64" s="111">
        <f t="shared" si="22"/>
        <v>28870</v>
      </c>
      <c r="I64" s="111"/>
      <c r="J64" s="111">
        <f t="shared" si="23"/>
        <v>28870</v>
      </c>
      <c r="K64" s="111"/>
      <c r="L64" s="111">
        <f t="shared" si="24"/>
        <v>28870</v>
      </c>
      <c r="M64" s="115"/>
      <c r="N64" s="111">
        <f t="shared" si="25"/>
        <v>28870</v>
      </c>
      <c r="O64" s="112"/>
      <c r="P64" s="111"/>
      <c r="Q64" s="113"/>
      <c r="R64" s="34">
        <f t="shared" si="26"/>
        <v>28870</v>
      </c>
    </row>
    <row r="65" spans="1:19" s="10" customFormat="1" ht="33.75" customHeight="1" x14ac:dyDescent="0.25">
      <c r="A65" s="109" t="s">
        <v>23</v>
      </c>
      <c r="B65" s="110" t="s">
        <v>20</v>
      </c>
      <c r="C65" s="102">
        <v>244</v>
      </c>
      <c r="D65" s="102">
        <v>226</v>
      </c>
      <c r="E65" s="33" t="s">
        <v>94</v>
      </c>
      <c r="F65" s="111">
        <v>17000</v>
      </c>
      <c r="G65" s="111">
        <v>-17000</v>
      </c>
      <c r="H65" s="111">
        <f t="shared" si="22"/>
        <v>0</v>
      </c>
      <c r="I65" s="111"/>
      <c r="J65" s="111">
        <f t="shared" si="23"/>
        <v>0</v>
      </c>
      <c r="K65" s="111"/>
      <c r="L65" s="111">
        <f t="shared" si="24"/>
        <v>0</v>
      </c>
      <c r="M65" s="111"/>
      <c r="N65" s="111">
        <f t="shared" si="25"/>
        <v>0</v>
      </c>
      <c r="O65" s="112"/>
      <c r="P65" s="111"/>
      <c r="Q65" s="113"/>
      <c r="R65" s="34">
        <f t="shared" si="26"/>
        <v>0</v>
      </c>
      <c r="S65" s="10" t="s">
        <v>95</v>
      </c>
    </row>
    <row r="66" spans="1:19" s="10" customFormat="1" x14ac:dyDescent="0.25">
      <c r="A66" s="109" t="s">
        <v>23</v>
      </c>
      <c r="B66" s="110" t="s">
        <v>20</v>
      </c>
      <c r="C66" s="102">
        <v>244</v>
      </c>
      <c r="D66" s="102">
        <v>226</v>
      </c>
      <c r="E66" s="33" t="s">
        <v>96</v>
      </c>
      <c r="F66" s="111">
        <v>2500</v>
      </c>
      <c r="G66" s="111"/>
      <c r="H66" s="111">
        <f t="shared" si="22"/>
        <v>2500</v>
      </c>
      <c r="I66" s="111">
        <v>-2500</v>
      </c>
      <c r="J66" s="111">
        <f t="shared" si="23"/>
        <v>0</v>
      </c>
      <c r="K66" s="111"/>
      <c r="L66" s="111">
        <f t="shared" si="24"/>
        <v>0</v>
      </c>
      <c r="M66" s="111"/>
      <c r="N66" s="111">
        <f t="shared" si="25"/>
        <v>0</v>
      </c>
      <c r="O66" s="112"/>
      <c r="P66" s="111"/>
      <c r="Q66" s="113"/>
      <c r="R66" s="34">
        <f t="shared" si="26"/>
        <v>0</v>
      </c>
    </row>
    <row r="67" spans="1:19" s="10" customFormat="1" hidden="1" x14ac:dyDescent="0.25">
      <c r="A67" s="109" t="s">
        <v>23</v>
      </c>
      <c r="B67" s="110" t="s">
        <v>75</v>
      </c>
      <c r="C67" s="102">
        <v>244</v>
      </c>
      <c r="D67" s="102">
        <v>226</v>
      </c>
      <c r="E67" s="33" t="s">
        <v>97</v>
      </c>
      <c r="F67" s="111"/>
      <c r="G67" s="111"/>
      <c r="H67" s="111">
        <f t="shared" si="22"/>
        <v>0</v>
      </c>
      <c r="I67" s="111"/>
      <c r="J67" s="111">
        <f t="shared" si="23"/>
        <v>0</v>
      </c>
      <c r="K67" s="111"/>
      <c r="L67" s="111">
        <f t="shared" si="24"/>
        <v>0</v>
      </c>
      <c r="M67" s="111"/>
      <c r="N67" s="111">
        <f t="shared" si="25"/>
        <v>0</v>
      </c>
      <c r="O67" s="112"/>
      <c r="P67" s="111"/>
      <c r="Q67" s="113"/>
      <c r="R67" s="34">
        <f t="shared" si="26"/>
        <v>0</v>
      </c>
    </row>
    <row r="68" spans="1:19" s="10" customFormat="1" ht="24.75" customHeight="1" x14ac:dyDescent="0.25">
      <c r="A68" s="109" t="s">
        <v>23</v>
      </c>
      <c r="B68" s="110" t="s">
        <v>80</v>
      </c>
      <c r="C68" s="102">
        <v>244</v>
      </c>
      <c r="D68" s="102">
        <v>226</v>
      </c>
      <c r="E68" s="33" t="s">
        <v>98</v>
      </c>
      <c r="F68" s="111"/>
      <c r="G68" s="111">
        <v>49500</v>
      </c>
      <c r="H68" s="111">
        <f t="shared" si="22"/>
        <v>49500</v>
      </c>
      <c r="I68" s="111">
        <f>-2000-3040-18500</f>
        <v>-23540</v>
      </c>
      <c r="J68" s="111">
        <f t="shared" si="23"/>
        <v>25960</v>
      </c>
      <c r="K68" s="111">
        <v>-2955.15</v>
      </c>
      <c r="L68" s="111">
        <f t="shared" si="24"/>
        <v>23004.85</v>
      </c>
      <c r="M68" s="111">
        <f>-5833.16-6720-3040</f>
        <v>-15593.16</v>
      </c>
      <c r="N68" s="111">
        <f t="shared" si="25"/>
        <v>7411.6899999999987</v>
      </c>
      <c r="O68" s="112" t="s">
        <v>99</v>
      </c>
      <c r="P68" s="111">
        <f>6468</f>
        <v>6468</v>
      </c>
      <c r="Q68" s="113">
        <v>6468</v>
      </c>
      <c r="R68" s="34">
        <f t="shared" si="26"/>
        <v>943.68999999999869</v>
      </c>
    </row>
    <row r="69" spans="1:19" s="10" customFormat="1" ht="24.75" customHeight="1" x14ac:dyDescent="0.25">
      <c r="A69" s="109" t="s">
        <v>23</v>
      </c>
      <c r="B69" s="110" t="s">
        <v>100</v>
      </c>
      <c r="C69" s="102">
        <v>244</v>
      </c>
      <c r="D69" s="102">
        <v>226</v>
      </c>
      <c r="E69" s="33" t="s">
        <v>101</v>
      </c>
      <c r="F69" s="111"/>
      <c r="G69" s="111"/>
      <c r="H69" s="111"/>
      <c r="I69" s="111">
        <f>4500-2800</f>
        <v>1700</v>
      </c>
      <c r="J69" s="111">
        <f t="shared" si="23"/>
        <v>1700</v>
      </c>
      <c r="K69" s="111">
        <v>2955.15</v>
      </c>
      <c r="L69" s="111">
        <f t="shared" si="24"/>
        <v>4655.1499999999996</v>
      </c>
      <c r="M69" s="111"/>
      <c r="N69" s="111">
        <f t="shared" si="25"/>
        <v>4655.1499999999996</v>
      </c>
      <c r="O69" s="112" t="s">
        <v>102</v>
      </c>
      <c r="P69" s="111">
        <f>1600+1562.65+1492.5</f>
        <v>4655.1499999999996</v>
      </c>
      <c r="Q69" s="113">
        <f>1600+1562.65+1492.5</f>
        <v>4655.1499999999996</v>
      </c>
      <c r="R69" s="34">
        <f t="shared" si="26"/>
        <v>0</v>
      </c>
      <c r="S69" s="114"/>
    </row>
    <row r="70" spans="1:19" s="10" customFormat="1" ht="27.75" customHeight="1" x14ac:dyDescent="0.25">
      <c r="A70" s="109" t="s">
        <v>23</v>
      </c>
      <c r="B70" s="110" t="s">
        <v>80</v>
      </c>
      <c r="C70" s="102">
        <v>244</v>
      </c>
      <c r="D70" s="102">
        <v>226</v>
      </c>
      <c r="E70" s="33" t="s">
        <v>103</v>
      </c>
      <c r="F70" s="111">
        <v>306900</v>
      </c>
      <c r="G70" s="116">
        <v>-306900</v>
      </c>
      <c r="H70" s="111">
        <f t="shared" si="22"/>
        <v>0</v>
      </c>
      <c r="I70" s="111"/>
      <c r="J70" s="111"/>
      <c r="K70" s="111"/>
      <c r="L70" s="111">
        <f t="shared" si="24"/>
        <v>0</v>
      </c>
      <c r="M70" s="111"/>
      <c r="N70" s="111">
        <f t="shared" si="25"/>
        <v>0</v>
      </c>
      <c r="O70" s="112"/>
      <c r="P70" s="111"/>
      <c r="Q70" s="113"/>
      <c r="R70" s="34">
        <f t="shared" si="26"/>
        <v>0</v>
      </c>
    </row>
    <row r="71" spans="1:19" s="117" customFormat="1" ht="97.5" customHeight="1" x14ac:dyDescent="0.25">
      <c r="A71" s="109" t="s">
        <v>23</v>
      </c>
      <c r="B71" s="110" t="s">
        <v>20</v>
      </c>
      <c r="C71" s="102">
        <v>244</v>
      </c>
      <c r="D71" s="102">
        <v>226</v>
      </c>
      <c r="E71" s="33" t="s">
        <v>104</v>
      </c>
      <c r="F71" s="111">
        <v>180000</v>
      </c>
      <c r="G71" s="111">
        <f>-49500+5737.6</f>
        <v>-43762.400000000001</v>
      </c>
      <c r="H71" s="111">
        <f t="shared" si="22"/>
        <v>136237.6</v>
      </c>
      <c r="I71" s="111"/>
      <c r="J71" s="111">
        <f t="shared" si="23"/>
        <v>136237.6</v>
      </c>
      <c r="K71" s="111"/>
      <c r="L71" s="111">
        <f t="shared" si="24"/>
        <v>136237.6</v>
      </c>
      <c r="M71" s="111">
        <v>500</v>
      </c>
      <c r="N71" s="111">
        <f t="shared" si="25"/>
        <v>136737.60000000001</v>
      </c>
      <c r="O71" s="112" t="s">
        <v>105</v>
      </c>
      <c r="P71" s="111">
        <f>17150.4+119587.2</f>
        <v>136737.60000000001</v>
      </c>
      <c r="Q71" s="113">
        <f>10658.4+15594+4287.6+55708.8+4287.6+6010.8+5744.4+3171.6+13473.6+4287.6+9225.6+4287.6</f>
        <v>136737.60000000003</v>
      </c>
      <c r="R71" s="34">
        <f t="shared" si="26"/>
        <v>0</v>
      </c>
    </row>
    <row r="72" spans="1:19" s="119" customFormat="1" ht="23.25" customHeight="1" x14ac:dyDescent="0.25">
      <c r="A72" s="67" t="s">
        <v>23</v>
      </c>
      <c r="B72" s="97" t="s">
        <v>20</v>
      </c>
      <c r="C72" s="69">
        <v>244</v>
      </c>
      <c r="D72" s="69">
        <v>226</v>
      </c>
      <c r="E72" s="98" t="s">
        <v>106</v>
      </c>
      <c r="F72" s="71">
        <f t="shared" ref="F72:M72" si="27">SUM(F62:F71)</f>
        <v>727434</v>
      </c>
      <c r="G72" s="71">
        <f t="shared" si="27"/>
        <v>-285631.56</v>
      </c>
      <c r="H72" s="71">
        <f>SUM(H62:H71)</f>
        <v>441802.43999999994</v>
      </c>
      <c r="I72" s="71">
        <f t="shared" si="27"/>
        <v>-24340</v>
      </c>
      <c r="J72" s="71">
        <f t="shared" si="27"/>
        <v>417462.43999999994</v>
      </c>
      <c r="K72" s="71">
        <f t="shared" si="27"/>
        <v>0</v>
      </c>
      <c r="L72" s="71">
        <f t="shared" si="27"/>
        <v>417462.44000000006</v>
      </c>
      <c r="M72" s="71">
        <f t="shared" si="27"/>
        <v>-9260</v>
      </c>
      <c r="N72" s="71">
        <f>SUM(N62:N71)</f>
        <v>408202.44000000006</v>
      </c>
      <c r="O72" s="72"/>
      <c r="P72" s="71">
        <f>SUM(P62:P71)</f>
        <v>378388.75</v>
      </c>
      <c r="Q72" s="71">
        <f>SUM(Q62:Q71)</f>
        <v>378388.75</v>
      </c>
      <c r="R72" s="71">
        <f>SUM(R62:R71)</f>
        <v>29813.69</v>
      </c>
      <c r="S72" s="118"/>
    </row>
    <row r="73" spans="1:19" s="122" customFormat="1" ht="49.5" customHeight="1" x14ac:dyDescent="0.25">
      <c r="A73" s="30" t="s">
        <v>23</v>
      </c>
      <c r="B73" s="31" t="s">
        <v>20</v>
      </c>
      <c r="C73" s="32">
        <v>321</v>
      </c>
      <c r="D73" s="32">
        <v>262</v>
      </c>
      <c r="E73" s="33" t="s">
        <v>107</v>
      </c>
      <c r="F73" s="34">
        <v>42000</v>
      </c>
      <c r="G73" s="120"/>
      <c r="H73" s="34">
        <f>F73+G73</f>
        <v>42000</v>
      </c>
      <c r="I73" s="34"/>
      <c r="J73" s="34">
        <f>H73+I73</f>
        <v>42000</v>
      </c>
      <c r="K73" s="34"/>
      <c r="L73" s="34">
        <f>J73+K73</f>
        <v>42000</v>
      </c>
      <c r="M73" s="34"/>
      <c r="N73" s="35">
        <f>L73+M73</f>
        <v>42000</v>
      </c>
      <c r="O73" s="121" t="s">
        <v>27</v>
      </c>
      <c r="P73" s="34">
        <v>42000</v>
      </c>
      <c r="Q73" s="37">
        <v>42000</v>
      </c>
      <c r="R73" s="34">
        <f>N73-P73</f>
        <v>0</v>
      </c>
    </row>
    <row r="74" spans="1:19" s="122" customFormat="1" ht="27" customHeight="1" x14ac:dyDescent="0.25">
      <c r="A74" s="123" t="s">
        <v>19</v>
      </c>
      <c r="B74" s="48" t="s">
        <v>20</v>
      </c>
      <c r="C74" s="13">
        <v>321</v>
      </c>
      <c r="D74" s="13">
        <v>262</v>
      </c>
      <c r="E74" s="76" t="s">
        <v>108</v>
      </c>
      <c r="F74" s="52"/>
      <c r="G74" s="124"/>
      <c r="H74" s="52"/>
      <c r="I74" s="52"/>
      <c r="J74" s="52"/>
      <c r="K74" s="52">
        <v>24822.400000000001</v>
      </c>
      <c r="L74" s="52">
        <f>J74+K74</f>
        <v>24822.400000000001</v>
      </c>
      <c r="M74" s="52"/>
      <c r="N74" s="51">
        <f>L74+M74</f>
        <v>24822.400000000001</v>
      </c>
      <c r="O74" s="125"/>
      <c r="P74" s="52"/>
      <c r="Q74" s="54"/>
      <c r="R74" s="52">
        <f>N74-P74</f>
        <v>24822.400000000001</v>
      </c>
    </row>
    <row r="75" spans="1:19" s="130" customFormat="1" ht="36.75" customHeight="1" x14ac:dyDescent="0.25">
      <c r="A75" s="126" t="s">
        <v>23</v>
      </c>
      <c r="B75" s="127" t="s">
        <v>20</v>
      </c>
      <c r="C75" s="69">
        <v>320</v>
      </c>
      <c r="D75" s="69">
        <v>260</v>
      </c>
      <c r="E75" s="70" t="s">
        <v>109</v>
      </c>
      <c r="F75" s="128">
        <f>SUM(F73:F73)</f>
        <v>42000</v>
      </c>
      <c r="G75" s="128">
        <f>SUM(G73:G73)</f>
        <v>0</v>
      </c>
      <c r="H75" s="128">
        <f>SUM(H73:H73)</f>
        <v>42000</v>
      </c>
      <c r="I75" s="128">
        <f t="shared" ref="I75:N75" si="28">SUM(I73:I74)</f>
        <v>0</v>
      </c>
      <c r="J75" s="128">
        <f t="shared" si="28"/>
        <v>42000</v>
      </c>
      <c r="K75" s="128">
        <f t="shared" si="28"/>
        <v>24822.400000000001</v>
      </c>
      <c r="L75" s="128">
        <f t="shared" si="28"/>
        <v>66822.399999999994</v>
      </c>
      <c r="M75" s="128">
        <f t="shared" si="28"/>
        <v>0</v>
      </c>
      <c r="N75" s="128">
        <f t="shared" si="28"/>
        <v>66822.399999999994</v>
      </c>
      <c r="O75" s="129"/>
      <c r="P75" s="128">
        <f>SUM(P73:P74)</f>
        <v>42000</v>
      </c>
      <c r="Q75" s="128">
        <f>SUM(Q73:Q74)</f>
        <v>42000</v>
      </c>
      <c r="R75" s="128">
        <f>SUM(R73:R74)</f>
        <v>24822.400000000001</v>
      </c>
    </row>
    <row r="76" spans="1:19" s="130" customFormat="1" ht="34.5" hidden="1" customHeight="1" x14ac:dyDescent="0.25">
      <c r="A76" s="30" t="s">
        <v>23</v>
      </c>
      <c r="B76" s="31" t="s">
        <v>20</v>
      </c>
      <c r="C76" s="32">
        <v>244</v>
      </c>
      <c r="D76" s="32">
        <v>310</v>
      </c>
      <c r="E76" s="131" t="s">
        <v>110</v>
      </c>
      <c r="F76" s="34"/>
      <c r="G76" s="34"/>
      <c r="H76" s="34"/>
      <c r="I76" s="34"/>
      <c r="J76" s="34">
        <f>H76+I76</f>
        <v>0</v>
      </c>
      <c r="K76" s="34"/>
      <c r="L76" s="34">
        <f>J76+K76</f>
        <v>0</v>
      </c>
      <c r="M76" s="34"/>
      <c r="N76" s="34">
        <f>L76+M76</f>
        <v>0</v>
      </c>
      <c r="O76" s="95"/>
      <c r="P76" s="34"/>
      <c r="Q76" s="37"/>
      <c r="R76" s="34">
        <f>N76-P76</f>
        <v>0</v>
      </c>
    </row>
    <row r="77" spans="1:19" s="119" customFormat="1" ht="37.5" hidden="1" customHeight="1" x14ac:dyDescent="0.25">
      <c r="A77" s="126" t="s">
        <v>111</v>
      </c>
      <c r="B77" s="127" t="s">
        <v>20</v>
      </c>
      <c r="C77" s="69">
        <v>244</v>
      </c>
      <c r="D77" s="69">
        <v>310</v>
      </c>
      <c r="E77" s="132" t="s">
        <v>112</v>
      </c>
      <c r="F77" s="128">
        <f>F76</f>
        <v>0</v>
      </c>
      <c r="G77" s="128">
        <f t="shared" ref="G77:R77" si="29">G76</f>
        <v>0</v>
      </c>
      <c r="H77" s="128">
        <f t="shared" si="29"/>
        <v>0</v>
      </c>
      <c r="I77" s="128">
        <f t="shared" si="29"/>
        <v>0</v>
      </c>
      <c r="J77" s="128">
        <f t="shared" si="29"/>
        <v>0</v>
      </c>
      <c r="K77" s="128">
        <f t="shared" si="29"/>
        <v>0</v>
      </c>
      <c r="L77" s="128">
        <f t="shared" si="29"/>
        <v>0</v>
      </c>
      <c r="M77" s="128">
        <f t="shared" si="29"/>
        <v>0</v>
      </c>
      <c r="N77" s="128">
        <f t="shared" si="29"/>
        <v>0</v>
      </c>
      <c r="O77" s="129"/>
      <c r="P77" s="128">
        <f t="shared" si="29"/>
        <v>0</v>
      </c>
      <c r="Q77" s="128">
        <f t="shared" si="29"/>
        <v>0</v>
      </c>
      <c r="R77" s="128">
        <f t="shared" si="29"/>
        <v>0</v>
      </c>
    </row>
    <row r="78" spans="1:19" s="133" customFormat="1" ht="32.25" customHeight="1" x14ac:dyDescent="0.25">
      <c r="A78" s="30" t="s">
        <v>23</v>
      </c>
      <c r="B78" s="31" t="s">
        <v>20</v>
      </c>
      <c r="C78" s="102">
        <v>244</v>
      </c>
      <c r="D78" s="102">
        <v>341</v>
      </c>
      <c r="E78" s="33" t="s">
        <v>113</v>
      </c>
      <c r="F78" s="34">
        <v>7400</v>
      </c>
      <c r="G78" s="34">
        <v>-390</v>
      </c>
      <c r="H78" s="34">
        <f>F78+G78</f>
        <v>7010</v>
      </c>
      <c r="I78" s="34"/>
      <c r="J78" s="34">
        <f>H78+I78</f>
        <v>7010</v>
      </c>
      <c r="K78" s="34"/>
      <c r="L78" s="34">
        <f>J78+K78</f>
        <v>7010</v>
      </c>
      <c r="M78" s="34">
        <f>-23.9-341.1</f>
        <v>-365</v>
      </c>
      <c r="N78" s="35">
        <f>L78+M78</f>
        <v>6645</v>
      </c>
      <c r="O78" s="95" t="s">
        <v>114</v>
      </c>
      <c r="P78" s="34">
        <v>6645</v>
      </c>
      <c r="Q78" s="37">
        <v>6645</v>
      </c>
      <c r="R78" s="34">
        <f>N78-P78</f>
        <v>0</v>
      </c>
    </row>
    <row r="79" spans="1:19" s="133" customFormat="1" ht="36.75" customHeight="1" x14ac:dyDescent="0.25">
      <c r="A79" s="30" t="s">
        <v>23</v>
      </c>
      <c r="B79" s="31" t="s">
        <v>20</v>
      </c>
      <c r="C79" s="102">
        <v>244</v>
      </c>
      <c r="D79" s="102">
        <v>341</v>
      </c>
      <c r="E79" s="33" t="s">
        <v>115</v>
      </c>
      <c r="F79" s="34">
        <v>20450</v>
      </c>
      <c r="G79" s="34"/>
      <c r="H79" s="34">
        <f>F79+G79</f>
        <v>20450</v>
      </c>
      <c r="I79" s="34"/>
      <c r="J79" s="34">
        <f>H79+I79</f>
        <v>20450</v>
      </c>
      <c r="K79" s="34">
        <v>-12023.9</v>
      </c>
      <c r="L79" s="34">
        <f>J79+K79</f>
        <v>8426.1</v>
      </c>
      <c r="M79" s="35">
        <f>-1800-1496.1+1000+179.02+133.12+341.1+146.76</f>
        <v>-1496.1000000000001</v>
      </c>
      <c r="N79" s="35">
        <f>L79+M79</f>
        <v>6930</v>
      </c>
      <c r="O79" s="95" t="s">
        <v>116</v>
      </c>
      <c r="P79" s="34">
        <f>800+6130</f>
        <v>6930</v>
      </c>
      <c r="Q79" s="37">
        <f>800+6130</f>
        <v>6930</v>
      </c>
      <c r="R79" s="34">
        <f>N79-P79</f>
        <v>0</v>
      </c>
    </row>
    <row r="80" spans="1:19" s="130" customFormat="1" ht="16.5" customHeight="1" x14ac:dyDescent="0.25">
      <c r="A80" s="126" t="s">
        <v>23</v>
      </c>
      <c r="B80" s="127" t="s">
        <v>20</v>
      </c>
      <c r="C80" s="134">
        <v>244</v>
      </c>
      <c r="D80" s="134">
        <v>341</v>
      </c>
      <c r="E80" s="98" t="s">
        <v>117</v>
      </c>
      <c r="F80" s="128">
        <f t="shared" ref="F80:N80" si="30">SUM(F78:F79)</f>
        <v>27850</v>
      </c>
      <c r="G80" s="128">
        <f t="shared" si="30"/>
        <v>-390</v>
      </c>
      <c r="H80" s="128">
        <f t="shared" si="30"/>
        <v>27460</v>
      </c>
      <c r="I80" s="128">
        <f t="shared" si="30"/>
        <v>0</v>
      </c>
      <c r="J80" s="128">
        <f t="shared" si="30"/>
        <v>27460</v>
      </c>
      <c r="K80" s="128">
        <f t="shared" si="30"/>
        <v>-12023.9</v>
      </c>
      <c r="L80" s="128">
        <f t="shared" si="30"/>
        <v>15436.1</v>
      </c>
      <c r="M80" s="128">
        <f t="shared" si="30"/>
        <v>-1861.1000000000001</v>
      </c>
      <c r="N80" s="128">
        <f t="shared" si="30"/>
        <v>13575</v>
      </c>
      <c r="O80" s="129"/>
      <c r="P80" s="128">
        <f>SUM(P78:P79)</f>
        <v>13575</v>
      </c>
      <c r="Q80" s="128">
        <f>SUM(Q78:Q79)</f>
        <v>13575</v>
      </c>
      <c r="R80" s="128">
        <f>SUM(R78:R79)</f>
        <v>0</v>
      </c>
    </row>
    <row r="81" spans="1:19" s="133" customFormat="1" ht="30" x14ac:dyDescent="0.25">
      <c r="A81" s="30" t="s">
        <v>23</v>
      </c>
      <c r="B81" s="31" t="s">
        <v>20</v>
      </c>
      <c r="C81" s="102">
        <v>244</v>
      </c>
      <c r="D81" s="102">
        <v>344</v>
      </c>
      <c r="E81" s="33" t="s">
        <v>118</v>
      </c>
      <c r="F81" s="135"/>
      <c r="G81" s="135"/>
      <c r="H81" s="135"/>
      <c r="I81" s="135"/>
      <c r="J81" s="34">
        <f>H81+I81</f>
        <v>0</v>
      </c>
      <c r="K81" s="34">
        <v>12023.9</v>
      </c>
      <c r="L81" s="34">
        <f>J81+K81</f>
        <v>12023.9</v>
      </c>
      <c r="M81" s="135"/>
      <c r="N81" s="135">
        <f>L81+M81</f>
        <v>12023.9</v>
      </c>
      <c r="O81" s="95" t="s">
        <v>119</v>
      </c>
      <c r="P81" s="34">
        <f>12023.9</f>
        <v>12023.9</v>
      </c>
      <c r="Q81" s="34">
        <v>12023.9</v>
      </c>
      <c r="R81" s="34">
        <f>N81-P81</f>
        <v>0</v>
      </c>
    </row>
    <row r="82" spans="1:19" s="130" customFormat="1" ht="40.5" customHeight="1" x14ac:dyDescent="0.25">
      <c r="A82" s="126" t="s">
        <v>23</v>
      </c>
      <c r="B82" s="127" t="s">
        <v>20</v>
      </c>
      <c r="C82" s="134">
        <v>244</v>
      </c>
      <c r="D82" s="134">
        <v>344</v>
      </c>
      <c r="E82" s="98" t="s">
        <v>120</v>
      </c>
      <c r="F82" s="128">
        <f>F81</f>
        <v>0</v>
      </c>
      <c r="G82" s="128">
        <f t="shared" ref="G82:R82" si="31">G81</f>
        <v>0</v>
      </c>
      <c r="H82" s="128">
        <f t="shared" si="31"/>
        <v>0</v>
      </c>
      <c r="I82" s="128">
        <f t="shared" si="31"/>
        <v>0</v>
      </c>
      <c r="J82" s="128">
        <f t="shared" si="31"/>
        <v>0</v>
      </c>
      <c r="K82" s="128">
        <f t="shared" si="31"/>
        <v>12023.9</v>
      </c>
      <c r="L82" s="128">
        <f t="shared" si="31"/>
        <v>12023.9</v>
      </c>
      <c r="M82" s="128">
        <f t="shared" si="31"/>
        <v>0</v>
      </c>
      <c r="N82" s="128">
        <f t="shared" si="31"/>
        <v>12023.9</v>
      </c>
      <c r="O82" s="128"/>
      <c r="P82" s="128">
        <f t="shared" si="31"/>
        <v>12023.9</v>
      </c>
      <c r="Q82" s="128">
        <f t="shared" si="31"/>
        <v>12023.9</v>
      </c>
      <c r="R82" s="128">
        <f t="shared" si="31"/>
        <v>0</v>
      </c>
    </row>
    <row r="83" spans="1:19" s="133" customFormat="1" ht="41.25" customHeight="1" x14ac:dyDescent="0.25">
      <c r="A83" s="30" t="s">
        <v>23</v>
      </c>
      <c r="B83" s="31" t="s">
        <v>20</v>
      </c>
      <c r="C83" s="102">
        <v>244</v>
      </c>
      <c r="D83" s="102">
        <v>346</v>
      </c>
      <c r="E83" s="33" t="s">
        <v>121</v>
      </c>
      <c r="F83" s="34">
        <v>19600</v>
      </c>
      <c r="G83" s="34"/>
      <c r="H83" s="34">
        <f>F83+G83</f>
        <v>19600</v>
      </c>
      <c r="I83" s="34">
        <v>-933.27</v>
      </c>
      <c r="J83" s="34">
        <f t="shared" ref="J83:J88" si="32">H83+I83</f>
        <v>18666.73</v>
      </c>
      <c r="K83" s="34">
        <v>-203.19</v>
      </c>
      <c r="L83" s="34">
        <f t="shared" ref="L83:L88" si="33">J83+K83</f>
        <v>18463.54</v>
      </c>
      <c r="M83" s="35">
        <f>-500-420-133.19</f>
        <v>-1053.19</v>
      </c>
      <c r="N83" s="35">
        <f t="shared" ref="N83:N88" si="34">L83+M83</f>
        <v>17410.350000000002</v>
      </c>
      <c r="O83" s="95" t="s">
        <v>122</v>
      </c>
      <c r="P83" s="34">
        <f>2027.42+6902.93+2480+6000</f>
        <v>17410.349999999999</v>
      </c>
      <c r="Q83" s="37">
        <f>2027.42+6902.93+2480+6000</f>
        <v>17410.349999999999</v>
      </c>
      <c r="R83" s="34">
        <f>N83-P83</f>
        <v>0</v>
      </c>
    </row>
    <row r="84" spans="1:19" s="133" customFormat="1" ht="24" customHeight="1" x14ac:dyDescent="0.25">
      <c r="A84" s="30" t="s">
        <v>23</v>
      </c>
      <c r="B84" s="31" t="s">
        <v>20</v>
      </c>
      <c r="C84" s="102">
        <v>244</v>
      </c>
      <c r="D84" s="102">
        <v>346</v>
      </c>
      <c r="E84" s="33" t="s">
        <v>123</v>
      </c>
      <c r="F84" s="34">
        <v>15500</v>
      </c>
      <c r="G84" s="34">
        <f>-6420.04+390</f>
        <v>-6030.04</v>
      </c>
      <c r="H84" s="34">
        <f>F84+G84</f>
        <v>9469.9599999999991</v>
      </c>
      <c r="I84" s="34">
        <v>933.27</v>
      </c>
      <c r="J84" s="34">
        <f t="shared" si="32"/>
        <v>10403.23</v>
      </c>
      <c r="K84" s="34">
        <v>203.19</v>
      </c>
      <c r="L84" s="34">
        <f t="shared" si="33"/>
        <v>10606.42</v>
      </c>
      <c r="M84" s="35"/>
      <c r="N84" s="35">
        <f t="shared" si="34"/>
        <v>10606.42</v>
      </c>
      <c r="O84" s="136" t="s">
        <v>124</v>
      </c>
      <c r="P84" s="34">
        <f>8000+390+2013.23+203.19</f>
        <v>10606.42</v>
      </c>
      <c r="Q84" s="37">
        <f>8000+390+2013.23+203.19</f>
        <v>10606.42</v>
      </c>
      <c r="R84" s="34">
        <f t="shared" ref="R84:R88" si="35">N84-P84</f>
        <v>0</v>
      </c>
    </row>
    <row r="85" spans="1:19" s="133" customFormat="1" ht="31.5" hidden="1" customHeight="1" x14ac:dyDescent="0.25">
      <c r="A85" s="30" t="s">
        <v>23</v>
      </c>
      <c r="B85" s="31" t="s">
        <v>75</v>
      </c>
      <c r="C85" s="102">
        <v>244</v>
      </c>
      <c r="D85" s="102">
        <v>346</v>
      </c>
      <c r="E85" s="33" t="s">
        <v>125</v>
      </c>
      <c r="F85" s="34"/>
      <c r="G85" s="34"/>
      <c r="H85" s="34">
        <f>F85+G85</f>
        <v>0</v>
      </c>
      <c r="I85" s="34"/>
      <c r="J85" s="34">
        <f t="shared" si="32"/>
        <v>0</v>
      </c>
      <c r="K85" s="34"/>
      <c r="L85" s="34">
        <f t="shared" si="33"/>
        <v>0</v>
      </c>
      <c r="M85" s="35"/>
      <c r="N85" s="35">
        <f t="shared" si="34"/>
        <v>0</v>
      </c>
      <c r="O85" s="95"/>
      <c r="P85" s="34"/>
      <c r="Q85" s="37"/>
      <c r="R85" s="34">
        <f t="shared" si="35"/>
        <v>0</v>
      </c>
    </row>
    <row r="86" spans="1:19" s="133" customFormat="1" ht="31.5" customHeight="1" x14ac:dyDescent="0.25">
      <c r="A86" s="30" t="s">
        <v>23</v>
      </c>
      <c r="B86" s="31" t="s">
        <v>80</v>
      </c>
      <c r="C86" s="102">
        <v>244</v>
      </c>
      <c r="D86" s="102">
        <v>346</v>
      </c>
      <c r="E86" s="33" t="s">
        <v>126</v>
      </c>
      <c r="F86" s="34"/>
      <c r="G86" s="34"/>
      <c r="H86" s="34"/>
      <c r="I86" s="34"/>
      <c r="J86" s="34"/>
      <c r="K86" s="34"/>
      <c r="L86" s="34"/>
      <c r="M86" s="35"/>
      <c r="N86" s="35">
        <f t="shared" si="34"/>
        <v>0</v>
      </c>
      <c r="O86" s="95"/>
      <c r="P86" s="34"/>
      <c r="Q86" s="37"/>
      <c r="R86" s="34">
        <f t="shared" si="35"/>
        <v>0</v>
      </c>
    </row>
    <row r="87" spans="1:19" s="133" customFormat="1" ht="24.75" customHeight="1" x14ac:dyDescent="0.25">
      <c r="A87" s="30" t="s">
        <v>23</v>
      </c>
      <c r="B87" s="31" t="s">
        <v>20</v>
      </c>
      <c r="C87" s="102">
        <v>244</v>
      </c>
      <c r="D87" s="102">
        <v>346</v>
      </c>
      <c r="E87" s="33" t="s">
        <v>127</v>
      </c>
      <c r="F87" s="34">
        <v>1000</v>
      </c>
      <c r="G87" s="34"/>
      <c r="H87" s="34">
        <f>F87+G87</f>
        <v>1000</v>
      </c>
      <c r="I87" s="34"/>
      <c r="J87" s="34">
        <f t="shared" si="32"/>
        <v>1000</v>
      </c>
      <c r="K87" s="34"/>
      <c r="L87" s="34">
        <f t="shared" si="33"/>
        <v>1000</v>
      </c>
      <c r="M87" s="35">
        <v>-1000</v>
      </c>
      <c r="N87" s="35">
        <f t="shared" si="34"/>
        <v>0</v>
      </c>
      <c r="O87" s="95"/>
      <c r="P87" s="34"/>
      <c r="Q87" s="37"/>
      <c r="R87" s="34">
        <f t="shared" si="35"/>
        <v>0</v>
      </c>
    </row>
    <row r="88" spans="1:19" s="133" customFormat="1" ht="36" hidden="1" customHeight="1" x14ac:dyDescent="0.25">
      <c r="A88" s="30" t="s">
        <v>23</v>
      </c>
      <c r="B88" s="31" t="s">
        <v>20</v>
      </c>
      <c r="C88" s="102">
        <v>244</v>
      </c>
      <c r="D88" s="102">
        <v>346</v>
      </c>
      <c r="E88" s="33" t="s">
        <v>128</v>
      </c>
      <c r="F88" s="34"/>
      <c r="G88" s="34"/>
      <c r="H88" s="34"/>
      <c r="I88" s="34"/>
      <c r="J88" s="34">
        <f t="shared" si="32"/>
        <v>0</v>
      </c>
      <c r="K88" s="34"/>
      <c r="L88" s="34">
        <f t="shared" si="33"/>
        <v>0</v>
      </c>
      <c r="M88" s="35"/>
      <c r="N88" s="35">
        <f t="shared" si="34"/>
        <v>0</v>
      </c>
      <c r="O88" s="95"/>
      <c r="P88" s="34"/>
      <c r="Q88" s="37"/>
      <c r="R88" s="34">
        <f t="shared" si="35"/>
        <v>0</v>
      </c>
    </row>
    <row r="89" spans="1:19" s="130" customFormat="1" ht="40.5" customHeight="1" x14ac:dyDescent="0.25">
      <c r="A89" s="126" t="s">
        <v>23</v>
      </c>
      <c r="B89" s="127" t="s">
        <v>20</v>
      </c>
      <c r="C89" s="134">
        <v>244</v>
      </c>
      <c r="D89" s="134">
        <v>346</v>
      </c>
      <c r="E89" s="98" t="s">
        <v>129</v>
      </c>
      <c r="F89" s="128">
        <f t="shared" ref="F89:N89" si="36">SUM(F83:F88)</f>
        <v>36100</v>
      </c>
      <c r="G89" s="128">
        <f t="shared" si="36"/>
        <v>-6030.04</v>
      </c>
      <c r="H89" s="128">
        <f t="shared" si="36"/>
        <v>30069.96</v>
      </c>
      <c r="I89" s="128">
        <f t="shared" si="36"/>
        <v>0</v>
      </c>
      <c r="J89" s="128">
        <f>SUM(J83:J88)</f>
        <v>30069.96</v>
      </c>
      <c r="K89" s="128">
        <f t="shared" si="36"/>
        <v>0</v>
      </c>
      <c r="L89" s="128">
        <f t="shared" si="36"/>
        <v>30069.96</v>
      </c>
      <c r="M89" s="128">
        <f t="shared" si="36"/>
        <v>-2053.19</v>
      </c>
      <c r="N89" s="128">
        <f t="shared" si="36"/>
        <v>28016.770000000004</v>
      </c>
      <c r="O89" s="128"/>
      <c r="P89" s="128">
        <f>SUM(P83:P88)</f>
        <v>28016.769999999997</v>
      </c>
      <c r="Q89" s="128">
        <f>SUM(Q83:Q88)</f>
        <v>28016.769999999997</v>
      </c>
      <c r="R89" s="128">
        <f>SUM(R83:R88)</f>
        <v>0</v>
      </c>
    </row>
    <row r="90" spans="1:19" s="130" customFormat="1" ht="21.75" customHeight="1" x14ac:dyDescent="0.25">
      <c r="A90" s="137" t="s">
        <v>23</v>
      </c>
      <c r="B90" s="138" t="s">
        <v>20</v>
      </c>
      <c r="C90" s="102">
        <v>853</v>
      </c>
      <c r="D90" s="102">
        <v>295</v>
      </c>
      <c r="E90" s="139" t="s">
        <v>130</v>
      </c>
      <c r="F90" s="140"/>
      <c r="G90" s="140"/>
      <c r="H90" s="140"/>
      <c r="I90" s="140"/>
      <c r="J90" s="140">
        <f>H90+I90</f>
        <v>0</v>
      </c>
      <c r="K90" s="140"/>
      <c r="L90" s="140">
        <f>J90+K90</f>
        <v>0</v>
      </c>
      <c r="M90" s="140"/>
      <c r="N90" s="140">
        <f>L90+M90</f>
        <v>0</v>
      </c>
      <c r="O90" s="141"/>
      <c r="P90" s="140"/>
      <c r="Q90" s="142"/>
      <c r="R90" s="140">
        <f>N90-P90</f>
        <v>0</v>
      </c>
    </row>
    <row r="91" spans="1:19" s="130" customFormat="1" ht="33.75" customHeight="1" x14ac:dyDescent="0.25">
      <c r="A91" s="143" t="s">
        <v>23</v>
      </c>
      <c r="B91" s="144" t="s">
        <v>20</v>
      </c>
      <c r="C91" s="134">
        <v>853</v>
      </c>
      <c r="D91" s="134">
        <v>295</v>
      </c>
      <c r="E91" s="145" t="s">
        <v>131</v>
      </c>
      <c r="F91" s="146"/>
      <c r="G91" s="146"/>
      <c r="H91" s="146"/>
      <c r="I91" s="146">
        <f t="shared" ref="I91:N91" si="37">I90</f>
        <v>0</v>
      </c>
      <c r="J91" s="146">
        <f t="shared" si="37"/>
        <v>0</v>
      </c>
      <c r="K91" s="146">
        <f t="shared" si="37"/>
        <v>0</v>
      </c>
      <c r="L91" s="146">
        <f t="shared" si="37"/>
        <v>0</v>
      </c>
      <c r="M91" s="146">
        <f t="shared" si="37"/>
        <v>0</v>
      </c>
      <c r="N91" s="146">
        <f t="shared" si="37"/>
        <v>0</v>
      </c>
      <c r="O91" s="147"/>
      <c r="P91" s="146">
        <f>P90</f>
        <v>0</v>
      </c>
      <c r="Q91" s="146">
        <f>Q90</f>
        <v>0</v>
      </c>
      <c r="R91" s="146">
        <f>R90</f>
        <v>0</v>
      </c>
    </row>
    <row r="92" spans="1:19" s="130" customFormat="1" ht="33" customHeight="1" x14ac:dyDescent="0.25">
      <c r="A92" s="137" t="s">
        <v>23</v>
      </c>
      <c r="B92" s="138" t="s">
        <v>20</v>
      </c>
      <c r="C92" s="102">
        <v>853</v>
      </c>
      <c r="D92" s="102">
        <v>293</v>
      </c>
      <c r="E92" s="139" t="s">
        <v>132</v>
      </c>
      <c r="F92" s="140"/>
      <c r="G92" s="140"/>
      <c r="H92" s="140">
        <f>F92+G92</f>
        <v>0</v>
      </c>
      <c r="I92" s="140"/>
      <c r="J92" s="140">
        <f>H92+I92</f>
        <v>0</v>
      </c>
      <c r="K92" s="140"/>
      <c r="L92" s="140">
        <f>J92+K92</f>
        <v>0</v>
      </c>
      <c r="M92" s="140"/>
      <c r="N92" s="140">
        <f>L92+M92</f>
        <v>0</v>
      </c>
      <c r="O92" s="148"/>
      <c r="P92" s="140"/>
      <c r="Q92" s="142"/>
      <c r="R92" s="140">
        <f>N92-P92</f>
        <v>0</v>
      </c>
    </row>
    <row r="93" spans="1:19" s="130" customFormat="1" ht="33" customHeight="1" x14ac:dyDescent="0.25">
      <c r="A93" s="137" t="s">
        <v>23</v>
      </c>
      <c r="B93" s="138" t="s">
        <v>20</v>
      </c>
      <c r="C93" s="102">
        <v>852</v>
      </c>
      <c r="D93" s="102">
        <v>291</v>
      </c>
      <c r="E93" s="139" t="s">
        <v>133</v>
      </c>
      <c r="F93" s="140"/>
      <c r="G93" s="140"/>
      <c r="H93" s="140"/>
      <c r="I93" s="140"/>
      <c r="J93" s="140"/>
      <c r="K93" s="140"/>
      <c r="L93" s="140"/>
      <c r="M93" s="140">
        <v>1800</v>
      </c>
      <c r="N93" s="140">
        <f>L93+M93</f>
        <v>1800</v>
      </c>
      <c r="O93" s="148"/>
      <c r="P93" s="140">
        <v>1800</v>
      </c>
      <c r="Q93" s="142">
        <v>1800</v>
      </c>
      <c r="R93" s="140">
        <f>N93-P93</f>
        <v>0</v>
      </c>
      <c r="S93" s="130" t="s">
        <v>134</v>
      </c>
    </row>
    <row r="94" spans="1:19" s="130" customFormat="1" ht="15.75" x14ac:dyDescent="0.25">
      <c r="A94" s="143" t="s">
        <v>23</v>
      </c>
      <c r="B94" s="144" t="s">
        <v>20</v>
      </c>
      <c r="C94" s="134">
        <v>853</v>
      </c>
      <c r="D94" s="134">
        <v>293</v>
      </c>
      <c r="E94" s="145" t="s">
        <v>135</v>
      </c>
      <c r="F94" s="146"/>
      <c r="G94" s="146">
        <f>G92</f>
        <v>0</v>
      </c>
      <c r="H94" s="146">
        <f>H92</f>
        <v>0</v>
      </c>
      <c r="I94" s="146">
        <f>I92</f>
        <v>0</v>
      </c>
      <c r="J94" s="146">
        <f t="shared" ref="J94:R94" si="38">J92</f>
        <v>0</v>
      </c>
      <c r="K94" s="146">
        <f t="shared" si="38"/>
        <v>0</v>
      </c>
      <c r="L94" s="146">
        <f t="shared" si="38"/>
        <v>0</v>
      </c>
      <c r="M94" s="146">
        <f>M92+M93</f>
        <v>1800</v>
      </c>
      <c r="N94" s="146">
        <f>N92+N93</f>
        <v>1800</v>
      </c>
      <c r="O94" s="147"/>
      <c r="P94" s="146">
        <f t="shared" si="38"/>
        <v>0</v>
      </c>
      <c r="Q94" s="146">
        <f t="shared" si="38"/>
        <v>0</v>
      </c>
      <c r="R94" s="146">
        <f t="shared" si="38"/>
        <v>0</v>
      </c>
    </row>
    <row r="95" spans="1:19" s="73" customFormat="1" ht="30" customHeight="1" x14ac:dyDescent="0.25">
      <c r="A95" s="321" t="s">
        <v>136</v>
      </c>
      <c r="B95" s="322"/>
      <c r="C95" s="322"/>
      <c r="D95" s="322"/>
      <c r="E95" s="323"/>
      <c r="F95" s="149">
        <f>F5+F7+F9+F11+F13+F15+F17+F19+F27+F33+F37+F61+F72+F75+F80+F82+F89+F91+F94</f>
        <v>39436633</v>
      </c>
      <c r="G95" s="149">
        <f t="shared" ref="G95:R95" si="39">G5+G7+G9+G11+G13+G15+G17+G19+G27+G33+G37+G61+G72+G75+G80+G82+G89+G91+G94</f>
        <v>-300054.44</v>
      </c>
      <c r="H95" s="149">
        <f t="shared" si="39"/>
        <v>39136578.559999995</v>
      </c>
      <c r="I95" s="149">
        <f t="shared" si="39"/>
        <v>0</v>
      </c>
      <c r="J95" s="149">
        <f t="shared" si="39"/>
        <v>39136578.559999995</v>
      </c>
      <c r="K95" s="149">
        <f t="shared" si="39"/>
        <v>0</v>
      </c>
      <c r="L95" s="149">
        <f t="shared" si="39"/>
        <v>39136578.559999995</v>
      </c>
      <c r="M95" s="149">
        <f>M5+M7+M9+M11+M13+M15+M17+M19+M27+M33+M37+M61+M72+M75+M80+M82+M89+M91+M94</f>
        <v>0</v>
      </c>
      <c r="N95" s="149">
        <f>N5+N7+N9+N11+N13+N15+N17+N19+N27+N29+N33+N37+N61+N72+N75+N80+N82+N89+N91+N94</f>
        <v>39136578.560000002</v>
      </c>
      <c r="O95" s="149">
        <f t="shared" si="39"/>
        <v>0</v>
      </c>
      <c r="P95" s="149">
        <f t="shared" si="39"/>
        <v>4232744.03</v>
      </c>
      <c r="Q95" s="149">
        <f t="shared" si="39"/>
        <v>3485163.7399999993</v>
      </c>
      <c r="R95" s="149">
        <f t="shared" si="39"/>
        <v>34856856.929999992</v>
      </c>
      <c r="S95" s="93"/>
    </row>
    <row r="96" spans="1:19" s="73" customFormat="1" ht="14.45" customHeight="1" x14ac:dyDescent="0.25">
      <c r="A96" s="150"/>
      <c r="B96" s="151"/>
      <c r="C96" s="152"/>
      <c r="D96" s="152"/>
      <c r="E96" s="152"/>
      <c r="L96" s="93"/>
      <c r="M96" s="93"/>
      <c r="N96" s="93"/>
      <c r="O96" s="153"/>
    </row>
    <row r="97" spans="1:21" s="73" customFormat="1" ht="14.45" customHeight="1" x14ac:dyDescent="0.25">
      <c r="A97" s="150"/>
      <c r="B97" s="151"/>
      <c r="C97" s="152"/>
      <c r="D97" s="152"/>
      <c r="E97" s="152"/>
      <c r="F97" s="93"/>
      <c r="I97" s="154"/>
      <c r="J97" s="93"/>
      <c r="L97" s="93"/>
      <c r="M97" s="93"/>
      <c r="N97" s="155"/>
      <c r="O97" s="153"/>
      <c r="S97" s="93"/>
    </row>
    <row r="98" spans="1:21" s="73" customFormat="1" ht="14.45" customHeight="1" x14ac:dyDescent="0.25">
      <c r="A98" s="150"/>
      <c r="B98" s="151"/>
      <c r="C98" s="152"/>
      <c r="D98" s="152"/>
      <c r="E98" s="152"/>
      <c r="F98" s="93"/>
      <c r="H98" s="93"/>
      <c r="J98" s="93"/>
      <c r="K98" s="93"/>
      <c r="L98" s="93"/>
      <c r="M98" s="93"/>
      <c r="N98" s="93"/>
      <c r="O98" s="153"/>
      <c r="P98" s="93"/>
    </row>
    <row r="99" spans="1:21" s="73" customFormat="1" ht="14.45" customHeight="1" x14ac:dyDescent="0.25">
      <c r="A99" s="150"/>
      <c r="B99" s="151"/>
      <c r="C99" s="152"/>
      <c r="D99" s="152"/>
      <c r="E99" s="152"/>
      <c r="G99" s="154"/>
      <c r="J99" s="93"/>
      <c r="L99" s="93"/>
      <c r="M99" s="93"/>
      <c r="N99" s="93"/>
      <c r="O99" s="156"/>
    </row>
    <row r="100" spans="1:21" s="73" customFormat="1" ht="14.45" customHeight="1" x14ac:dyDescent="0.25">
      <c r="A100" s="283" t="s">
        <v>137</v>
      </c>
      <c r="B100" s="284"/>
      <c r="C100" s="284"/>
      <c r="D100" s="284"/>
      <c r="E100" s="285"/>
      <c r="G100" s="93"/>
      <c r="L100" s="93"/>
      <c r="M100" s="93"/>
      <c r="N100" s="93"/>
      <c r="O100" s="153"/>
    </row>
    <row r="101" spans="1:21" s="73" customFormat="1" ht="14.45" customHeight="1" x14ac:dyDescent="0.25">
      <c r="A101" s="286"/>
      <c r="B101" s="287"/>
      <c r="C101" s="287"/>
      <c r="D101" s="287"/>
      <c r="E101" s="288"/>
      <c r="L101" s="93"/>
      <c r="M101" s="93"/>
      <c r="N101" s="93"/>
      <c r="O101" s="153"/>
    </row>
    <row r="102" spans="1:21" s="73" customFormat="1" ht="34.5" customHeight="1" x14ac:dyDescent="0.25">
      <c r="A102" s="157" t="s">
        <v>138</v>
      </c>
      <c r="B102" s="158"/>
      <c r="C102" s="32">
        <v>244</v>
      </c>
      <c r="D102" s="32">
        <v>225</v>
      </c>
      <c r="E102" s="159" t="s">
        <v>139</v>
      </c>
      <c r="F102" s="160"/>
      <c r="G102" s="160">
        <v>70000</v>
      </c>
      <c r="H102" s="160">
        <f>F102+G102</f>
        <v>70000</v>
      </c>
      <c r="I102" s="160"/>
      <c r="J102" s="160">
        <f>H102+I102</f>
        <v>70000</v>
      </c>
      <c r="K102" s="160"/>
      <c r="L102" s="161">
        <f>J102+K102</f>
        <v>70000</v>
      </c>
      <c r="M102" s="160"/>
      <c r="N102" s="160">
        <f>L102+M102</f>
        <v>70000</v>
      </c>
      <c r="O102" s="112" t="s">
        <v>140</v>
      </c>
      <c r="P102" s="160">
        <v>70000</v>
      </c>
      <c r="Q102" s="162">
        <v>70000</v>
      </c>
      <c r="R102" s="160">
        <f>N102-P102</f>
        <v>0</v>
      </c>
    </row>
    <row r="103" spans="1:21" s="73" customFormat="1" ht="26.25" customHeight="1" x14ac:dyDescent="0.25">
      <c r="A103" s="310" t="s">
        <v>141</v>
      </c>
      <c r="B103" s="311"/>
      <c r="C103" s="311"/>
      <c r="D103" s="311"/>
      <c r="E103" s="312"/>
      <c r="F103" s="163">
        <f t="shared" ref="F103:N103" si="40">F102</f>
        <v>0</v>
      </c>
      <c r="G103" s="163">
        <f t="shared" si="40"/>
        <v>70000</v>
      </c>
      <c r="H103" s="163">
        <f t="shared" si="40"/>
        <v>70000</v>
      </c>
      <c r="I103" s="163">
        <f t="shared" si="40"/>
        <v>0</v>
      </c>
      <c r="J103" s="163">
        <f t="shared" si="40"/>
        <v>70000</v>
      </c>
      <c r="K103" s="163">
        <f t="shared" si="40"/>
        <v>0</v>
      </c>
      <c r="L103" s="163">
        <f t="shared" si="40"/>
        <v>70000</v>
      </c>
      <c r="M103" s="163">
        <f t="shared" si="40"/>
        <v>0</v>
      </c>
      <c r="N103" s="163">
        <f t="shared" si="40"/>
        <v>70000</v>
      </c>
      <c r="O103" s="164"/>
      <c r="P103" s="163">
        <f>P102</f>
        <v>70000</v>
      </c>
      <c r="Q103" s="163">
        <f>Q102</f>
        <v>70000</v>
      </c>
      <c r="R103" s="163">
        <f>R102</f>
        <v>0</v>
      </c>
    </row>
    <row r="104" spans="1:21" s="73" customFormat="1" ht="34.5" customHeight="1" x14ac:dyDescent="0.25">
      <c r="A104" s="157" t="s">
        <v>138</v>
      </c>
      <c r="B104" s="158"/>
      <c r="C104" s="32">
        <v>244</v>
      </c>
      <c r="D104" s="32">
        <v>226</v>
      </c>
      <c r="E104" s="159" t="s">
        <v>142</v>
      </c>
      <c r="F104" s="160"/>
      <c r="G104" s="160">
        <v>60000</v>
      </c>
      <c r="H104" s="160">
        <f>F104+G104</f>
        <v>60000</v>
      </c>
      <c r="I104" s="160"/>
      <c r="J104" s="160">
        <f>H104+I104</f>
        <v>60000</v>
      </c>
      <c r="K104" s="160"/>
      <c r="L104" s="161">
        <f>J104+K104</f>
        <v>60000</v>
      </c>
      <c r="M104" s="160"/>
      <c r="N104" s="160">
        <f>L104+M104</f>
        <v>60000</v>
      </c>
      <c r="O104" s="112" t="s">
        <v>143</v>
      </c>
      <c r="P104" s="160">
        <v>36161</v>
      </c>
      <c r="Q104" s="162">
        <v>36161</v>
      </c>
      <c r="R104" s="160">
        <f>N104-P104</f>
        <v>23839</v>
      </c>
    </row>
    <row r="105" spans="1:21" s="73" customFormat="1" ht="38.25" customHeight="1" x14ac:dyDescent="0.25">
      <c r="A105" s="157" t="s">
        <v>138</v>
      </c>
      <c r="B105" s="158"/>
      <c r="C105" s="32">
        <v>244</v>
      </c>
      <c r="D105" s="32">
        <v>226</v>
      </c>
      <c r="E105" s="159" t="s">
        <v>144</v>
      </c>
      <c r="F105" s="160"/>
      <c r="G105" s="160">
        <v>78860</v>
      </c>
      <c r="H105" s="160">
        <f>F105+G105</f>
        <v>78860</v>
      </c>
      <c r="I105" s="160"/>
      <c r="J105" s="160">
        <f>H105+I105</f>
        <v>78860</v>
      </c>
      <c r="K105" s="160"/>
      <c r="L105" s="161">
        <f>J105+K105</f>
        <v>78860</v>
      </c>
      <c r="M105" s="160"/>
      <c r="N105" s="160">
        <f>L105+M105</f>
        <v>78860</v>
      </c>
      <c r="O105" s="112" t="s">
        <v>145</v>
      </c>
      <c r="P105" s="161">
        <f>44900+28000+5960</f>
        <v>78860</v>
      </c>
      <c r="Q105" s="162">
        <f>44900+28000+5960</f>
        <v>78860</v>
      </c>
      <c r="R105" s="160">
        <f>N105-P105</f>
        <v>0</v>
      </c>
    </row>
    <row r="106" spans="1:21" s="73" customFormat="1" ht="27" customHeight="1" x14ac:dyDescent="0.25">
      <c r="A106" s="310" t="s">
        <v>146</v>
      </c>
      <c r="B106" s="311"/>
      <c r="C106" s="311"/>
      <c r="D106" s="311"/>
      <c r="E106" s="312"/>
      <c r="F106" s="163">
        <f t="shared" ref="F106:N106" si="41">SUM(F104:F105)</f>
        <v>0</v>
      </c>
      <c r="G106" s="163">
        <f t="shared" si="41"/>
        <v>138860</v>
      </c>
      <c r="H106" s="163">
        <f t="shared" si="41"/>
        <v>138860</v>
      </c>
      <c r="I106" s="163">
        <f t="shared" si="41"/>
        <v>0</v>
      </c>
      <c r="J106" s="163">
        <f t="shared" si="41"/>
        <v>138860</v>
      </c>
      <c r="K106" s="163">
        <f t="shared" si="41"/>
        <v>0</v>
      </c>
      <c r="L106" s="163">
        <f t="shared" si="41"/>
        <v>138860</v>
      </c>
      <c r="M106" s="163">
        <f t="shared" si="41"/>
        <v>0</v>
      </c>
      <c r="N106" s="163">
        <f t="shared" si="41"/>
        <v>138860</v>
      </c>
      <c r="O106" s="165"/>
      <c r="P106" s="163">
        <f>SUM(P104:P105)</f>
        <v>115021</v>
      </c>
      <c r="Q106" s="163">
        <f>SUM(Q104:Q105)</f>
        <v>115021</v>
      </c>
      <c r="R106" s="163">
        <f>SUM(R104:R105)</f>
        <v>23839</v>
      </c>
    </row>
    <row r="107" spans="1:21" s="73" customFormat="1" ht="33.75" customHeight="1" x14ac:dyDescent="0.25">
      <c r="A107" s="157" t="s">
        <v>138</v>
      </c>
      <c r="B107" s="158"/>
      <c r="C107" s="32">
        <v>244</v>
      </c>
      <c r="D107" s="32">
        <v>310</v>
      </c>
      <c r="E107" s="159" t="s">
        <v>147</v>
      </c>
      <c r="F107" s="160"/>
      <c r="G107" s="160">
        <v>1223130</v>
      </c>
      <c r="H107" s="160">
        <f>F107+G107</f>
        <v>1223130</v>
      </c>
      <c r="I107" s="160"/>
      <c r="J107" s="160">
        <f>H107+I107</f>
        <v>1223130</v>
      </c>
      <c r="K107" s="160"/>
      <c r="L107" s="161">
        <f>J107+K107</f>
        <v>1223130</v>
      </c>
      <c r="M107" s="160"/>
      <c r="N107" s="160">
        <f t="shared" ref="N107" si="42">L107+M107</f>
        <v>1223130</v>
      </c>
      <c r="O107" s="112" t="s">
        <v>148</v>
      </c>
      <c r="P107" s="160">
        <f>1189997.6</f>
        <v>1189997.6000000001</v>
      </c>
      <c r="Q107" s="162">
        <f>315627.4+874370.2</f>
        <v>1189997.6000000001</v>
      </c>
      <c r="R107" s="160">
        <f>N107-P107</f>
        <v>33132.399999999907</v>
      </c>
      <c r="S107" s="166"/>
    </row>
    <row r="108" spans="1:21" s="73" customFormat="1" ht="27" customHeight="1" x14ac:dyDescent="0.25">
      <c r="A108" s="310" t="s">
        <v>149</v>
      </c>
      <c r="B108" s="311"/>
      <c r="C108" s="311"/>
      <c r="D108" s="311"/>
      <c r="E108" s="312"/>
      <c r="F108" s="163">
        <f>SUM(F107:F107)</f>
        <v>0</v>
      </c>
      <c r="G108" s="163">
        <f t="shared" ref="G108:Q108" si="43">SUM(G107:G107)</f>
        <v>1223130</v>
      </c>
      <c r="H108" s="163">
        <f t="shared" si="43"/>
        <v>1223130</v>
      </c>
      <c r="I108" s="163">
        <f t="shared" si="43"/>
        <v>0</v>
      </c>
      <c r="J108" s="163">
        <f t="shared" si="43"/>
        <v>1223130</v>
      </c>
      <c r="K108" s="163">
        <f t="shared" si="43"/>
        <v>0</v>
      </c>
      <c r="L108" s="163">
        <f t="shared" si="43"/>
        <v>1223130</v>
      </c>
      <c r="M108" s="163">
        <f t="shared" si="43"/>
        <v>0</v>
      </c>
      <c r="N108" s="163">
        <f t="shared" si="43"/>
        <v>1223130</v>
      </c>
      <c r="O108" s="163">
        <f t="shared" si="43"/>
        <v>0</v>
      </c>
      <c r="P108" s="163">
        <f t="shared" si="43"/>
        <v>1189997.6000000001</v>
      </c>
      <c r="Q108" s="163">
        <f t="shared" si="43"/>
        <v>1189997.6000000001</v>
      </c>
      <c r="R108" s="163">
        <f>R107</f>
        <v>33132.399999999907</v>
      </c>
      <c r="U108" s="93"/>
    </row>
    <row r="109" spans="1:21" s="73" customFormat="1" ht="51" customHeight="1" x14ac:dyDescent="0.25">
      <c r="A109" s="157" t="s">
        <v>138</v>
      </c>
      <c r="B109" s="158"/>
      <c r="C109" s="32">
        <v>244</v>
      </c>
      <c r="D109" s="32">
        <v>346</v>
      </c>
      <c r="E109" s="159" t="s">
        <v>150</v>
      </c>
      <c r="F109" s="160"/>
      <c r="G109" s="160">
        <v>35000</v>
      </c>
      <c r="H109" s="160">
        <f>F109+G109</f>
        <v>35000</v>
      </c>
      <c r="I109" s="160"/>
      <c r="J109" s="160">
        <f>H109+I109</f>
        <v>35000</v>
      </c>
      <c r="K109" s="160"/>
      <c r="L109" s="161">
        <f>J109+K109</f>
        <v>35000</v>
      </c>
      <c r="M109" s="160"/>
      <c r="N109" s="160">
        <f>L109+M109</f>
        <v>35000</v>
      </c>
      <c r="O109" s="112" t="s">
        <v>151</v>
      </c>
      <c r="P109" s="161">
        <f>33023.39</f>
        <v>33023.39</v>
      </c>
      <c r="Q109" s="162">
        <f>33023.39</f>
        <v>33023.39</v>
      </c>
      <c r="R109" s="160">
        <f>N109-P109</f>
        <v>1976.6100000000006</v>
      </c>
    </row>
    <row r="110" spans="1:21" s="73" customFormat="1" ht="27.75" hidden="1" customHeight="1" x14ac:dyDescent="0.25">
      <c r="A110" s="157" t="s">
        <v>138</v>
      </c>
      <c r="B110" s="158"/>
      <c r="C110" s="32">
        <v>244</v>
      </c>
      <c r="D110" s="32">
        <v>346</v>
      </c>
      <c r="E110" s="159" t="s">
        <v>152</v>
      </c>
      <c r="F110" s="160"/>
      <c r="G110" s="160"/>
      <c r="H110" s="160">
        <f>F110+G110</f>
        <v>0</v>
      </c>
      <c r="I110" s="160"/>
      <c r="J110" s="160">
        <f>H110+I110</f>
        <v>0</v>
      </c>
      <c r="K110" s="160"/>
      <c r="L110" s="161"/>
      <c r="M110" s="160"/>
      <c r="N110" s="160">
        <f t="shared" ref="N110" si="44">L110+M110</f>
        <v>0</v>
      </c>
      <c r="O110" s="167"/>
      <c r="P110" s="161"/>
      <c r="Q110" s="162"/>
      <c r="R110" s="160">
        <f>N110-Q110</f>
        <v>0</v>
      </c>
    </row>
    <row r="111" spans="1:21" s="73" customFormat="1" ht="24" customHeight="1" x14ac:dyDescent="0.25">
      <c r="A111" s="310" t="s">
        <v>153</v>
      </c>
      <c r="B111" s="311"/>
      <c r="C111" s="311"/>
      <c r="D111" s="311"/>
      <c r="E111" s="312"/>
      <c r="F111" s="163">
        <f>F109</f>
        <v>0</v>
      </c>
      <c r="G111" s="163">
        <f t="shared" ref="G111:R111" si="45">G109</f>
        <v>35000</v>
      </c>
      <c r="H111" s="163">
        <f t="shared" si="45"/>
        <v>35000</v>
      </c>
      <c r="I111" s="163">
        <f t="shared" si="45"/>
        <v>0</v>
      </c>
      <c r="J111" s="163">
        <f t="shared" si="45"/>
        <v>35000</v>
      </c>
      <c r="K111" s="163">
        <f t="shared" si="45"/>
        <v>0</v>
      </c>
      <c r="L111" s="163">
        <f t="shared" si="45"/>
        <v>35000</v>
      </c>
      <c r="M111" s="163">
        <f t="shared" si="45"/>
        <v>0</v>
      </c>
      <c r="N111" s="163">
        <f t="shared" si="45"/>
        <v>35000</v>
      </c>
      <c r="O111" s="163" t="str">
        <f t="shared" si="45"/>
        <v>№0862300039923000202 от 17.07.2023</v>
      </c>
      <c r="P111" s="163">
        <f t="shared" si="45"/>
        <v>33023.39</v>
      </c>
      <c r="Q111" s="163">
        <f t="shared" si="45"/>
        <v>33023.39</v>
      </c>
      <c r="R111" s="163">
        <f t="shared" si="45"/>
        <v>1976.6100000000006</v>
      </c>
      <c r="S111" s="93"/>
    </row>
    <row r="112" spans="1:21" s="73" customFormat="1" ht="78.75" customHeight="1" x14ac:dyDescent="0.25">
      <c r="A112" s="168" t="s">
        <v>138</v>
      </c>
      <c r="B112" s="169"/>
      <c r="C112" s="102">
        <v>244</v>
      </c>
      <c r="D112" s="102">
        <v>349</v>
      </c>
      <c r="E112" s="139" t="s">
        <v>154</v>
      </c>
      <c r="F112" s="170"/>
      <c r="G112" s="170">
        <v>20000</v>
      </c>
      <c r="H112" s="170">
        <f>F112+G112</f>
        <v>20000</v>
      </c>
      <c r="I112" s="170"/>
      <c r="J112" s="170">
        <f>H112+I112</f>
        <v>20000</v>
      </c>
      <c r="K112" s="170"/>
      <c r="L112" s="171">
        <f>J112+K112</f>
        <v>20000</v>
      </c>
      <c r="M112" s="170"/>
      <c r="N112" s="170">
        <f>L112+M112</f>
        <v>20000</v>
      </c>
      <c r="O112" s="172" t="s">
        <v>155</v>
      </c>
      <c r="P112" s="171">
        <f>6819.25+4574.68+3572</f>
        <v>14965.93</v>
      </c>
      <c r="Q112" s="173">
        <f>6819.25+4574.68+3572</f>
        <v>14965.93</v>
      </c>
      <c r="R112" s="170">
        <f>N112-P112</f>
        <v>5034.07</v>
      </c>
      <c r="S112" s="93"/>
    </row>
    <row r="113" spans="1:19" s="73" customFormat="1" ht="20.25" customHeight="1" x14ac:dyDescent="0.25">
      <c r="A113" s="313" t="s">
        <v>156</v>
      </c>
      <c r="B113" s="313"/>
      <c r="C113" s="313"/>
      <c r="D113" s="313"/>
      <c r="E113" s="313"/>
      <c r="F113" s="163">
        <f t="shared" ref="F113:N113" si="46">F112</f>
        <v>0</v>
      </c>
      <c r="G113" s="163">
        <f t="shared" si="46"/>
        <v>20000</v>
      </c>
      <c r="H113" s="163">
        <f t="shared" si="46"/>
        <v>20000</v>
      </c>
      <c r="I113" s="163">
        <f t="shared" si="46"/>
        <v>0</v>
      </c>
      <c r="J113" s="163">
        <f t="shared" si="46"/>
        <v>20000</v>
      </c>
      <c r="K113" s="163">
        <f t="shared" si="46"/>
        <v>0</v>
      </c>
      <c r="L113" s="163">
        <f t="shared" si="46"/>
        <v>20000</v>
      </c>
      <c r="M113" s="163">
        <f t="shared" si="46"/>
        <v>0</v>
      </c>
      <c r="N113" s="163">
        <f t="shared" si="46"/>
        <v>20000</v>
      </c>
      <c r="O113" s="165"/>
      <c r="P113" s="163">
        <f>P112</f>
        <v>14965.93</v>
      </c>
      <c r="Q113" s="163">
        <f>Q112</f>
        <v>14965.93</v>
      </c>
      <c r="R113" s="163">
        <f>R112</f>
        <v>5034.07</v>
      </c>
      <c r="S113" s="93"/>
    </row>
    <row r="114" spans="1:19" s="73" customFormat="1" ht="27" customHeight="1" x14ac:dyDescent="0.25">
      <c r="A114" s="314" t="s">
        <v>157</v>
      </c>
      <c r="B114" s="315"/>
      <c r="C114" s="315"/>
      <c r="D114" s="315"/>
      <c r="E114" s="316"/>
      <c r="F114" s="174">
        <f>F103+F106+F108+F111+F113</f>
        <v>0</v>
      </c>
      <c r="G114" s="174">
        <f t="shared" ref="G114:R114" si="47">G103+G106+G108+G111+G113</f>
        <v>1486990</v>
      </c>
      <c r="H114" s="174">
        <f t="shared" si="47"/>
        <v>1486990</v>
      </c>
      <c r="I114" s="174">
        <f t="shared" si="47"/>
        <v>0</v>
      </c>
      <c r="J114" s="174">
        <f t="shared" si="47"/>
        <v>1486990</v>
      </c>
      <c r="K114" s="174">
        <f t="shared" si="47"/>
        <v>0</v>
      </c>
      <c r="L114" s="174">
        <f t="shared" si="47"/>
        <v>1486990</v>
      </c>
      <c r="M114" s="174">
        <f t="shared" si="47"/>
        <v>0</v>
      </c>
      <c r="N114" s="174">
        <f t="shared" si="47"/>
        <v>1486990</v>
      </c>
      <c r="O114" s="174"/>
      <c r="P114" s="174">
        <f>P103+P106+P108+P111+P113</f>
        <v>1423007.92</v>
      </c>
      <c r="Q114" s="174">
        <f t="shared" si="47"/>
        <v>1423007.92</v>
      </c>
      <c r="R114" s="174">
        <f t="shared" si="47"/>
        <v>63982.079999999907</v>
      </c>
      <c r="S114" s="93">
        <f>R104+R107+R109+R112</f>
        <v>63982.079999999907</v>
      </c>
    </row>
    <row r="115" spans="1:19" s="73" customFormat="1" ht="14.45" customHeight="1" x14ac:dyDescent="0.25">
      <c r="A115" s="150"/>
      <c r="B115" s="151"/>
      <c r="C115" s="152"/>
      <c r="D115" s="152"/>
      <c r="E115" s="152"/>
      <c r="J115" s="175"/>
      <c r="K115" s="175"/>
      <c r="L115" s="176"/>
      <c r="M115" s="176"/>
      <c r="N115" s="176"/>
      <c r="O115" s="153"/>
      <c r="P115" s="175"/>
      <c r="Q115" s="175"/>
      <c r="R115" s="175"/>
    </row>
    <row r="116" spans="1:19" s="73" customFormat="1" ht="14.45" customHeight="1" x14ac:dyDescent="0.25">
      <c r="A116" s="150"/>
      <c r="B116" s="151"/>
      <c r="C116" s="152"/>
      <c r="D116" s="152"/>
      <c r="E116" s="152"/>
      <c r="H116" s="93"/>
      <c r="J116" s="175"/>
      <c r="K116" s="175"/>
      <c r="L116" s="176"/>
      <c r="M116" s="176"/>
      <c r="N116" s="176"/>
      <c r="O116" s="153"/>
      <c r="P116" s="175"/>
      <c r="Q116" s="177">
        <f>P112+P109+P107+P102</f>
        <v>1307986.9200000002</v>
      </c>
      <c r="R116" s="175"/>
    </row>
    <row r="117" spans="1:19" s="73" customFormat="1" ht="14.45" customHeight="1" x14ac:dyDescent="0.25">
      <c r="A117" s="150"/>
      <c r="B117" s="151"/>
      <c r="C117" s="152"/>
      <c r="D117" s="152"/>
      <c r="E117" s="152"/>
      <c r="J117" s="176"/>
      <c r="K117" s="175"/>
      <c r="L117" s="176"/>
      <c r="M117" s="176"/>
      <c r="N117" s="176"/>
      <c r="O117" s="153"/>
      <c r="P117" s="175"/>
      <c r="Q117" s="175"/>
      <c r="R117" s="175"/>
    </row>
    <row r="118" spans="1:19" s="73" customFormat="1" ht="14.45" customHeight="1" x14ac:dyDescent="0.25">
      <c r="A118" s="279" t="s">
        <v>158</v>
      </c>
      <c r="B118" s="279"/>
      <c r="C118" s="279"/>
      <c r="D118" s="279"/>
      <c r="E118" s="152"/>
      <c r="J118" s="175"/>
      <c r="K118" s="175"/>
      <c r="L118" s="176"/>
      <c r="M118" s="176"/>
      <c r="N118" s="176"/>
      <c r="O118" s="153"/>
      <c r="P118" s="175"/>
      <c r="Q118" s="175"/>
      <c r="R118" s="175"/>
    </row>
    <row r="119" spans="1:19" s="73" customFormat="1" ht="14.45" customHeight="1" x14ac:dyDescent="0.25">
      <c r="A119" s="279"/>
      <c r="B119" s="279"/>
      <c r="C119" s="279"/>
      <c r="D119" s="279"/>
      <c r="E119" s="152"/>
      <c r="J119" s="175"/>
      <c r="K119" s="175"/>
      <c r="L119" s="176"/>
      <c r="M119" s="176"/>
      <c r="N119" s="176"/>
      <c r="O119" s="153"/>
      <c r="P119" s="175"/>
      <c r="Q119" s="175"/>
      <c r="R119" s="175"/>
    </row>
    <row r="120" spans="1:19" s="73" customFormat="1" ht="28.5" customHeight="1" x14ac:dyDescent="0.25">
      <c r="A120" s="157" t="s">
        <v>138</v>
      </c>
      <c r="B120" s="158" t="s">
        <v>159</v>
      </c>
      <c r="C120" s="32">
        <v>111</v>
      </c>
      <c r="D120" s="32">
        <v>211</v>
      </c>
      <c r="E120" s="159" t="s">
        <v>21</v>
      </c>
      <c r="F120" s="160">
        <v>1440000</v>
      </c>
      <c r="G120" s="160"/>
      <c r="H120" s="160">
        <f>F120+G120</f>
        <v>1440000</v>
      </c>
      <c r="I120" s="160"/>
      <c r="J120" s="161">
        <f>H120+I120</f>
        <v>1440000</v>
      </c>
      <c r="K120" s="160"/>
      <c r="L120" s="161">
        <f>J120+K120</f>
        <v>1440000</v>
      </c>
      <c r="M120" s="160"/>
      <c r="N120" s="160">
        <f>L120+M120</f>
        <v>1440000</v>
      </c>
      <c r="O120" s="160"/>
      <c r="P120" s="160"/>
      <c r="Q120" s="162"/>
      <c r="R120" s="160">
        <f>J120-P120</f>
        <v>1440000</v>
      </c>
    </row>
    <row r="121" spans="1:19" s="73" customFormat="1" ht="29.25" customHeight="1" x14ac:dyDescent="0.25">
      <c r="A121" s="157" t="s">
        <v>138</v>
      </c>
      <c r="B121" s="158" t="s">
        <v>159</v>
      </c>
      <c r="C121" s="32">
        <v>119</v>
      </c>
      <c r="D121" s="32">
        <v>213</v>
      </c>
      <c r="E121" s="33" t="s">
        <v>160</v>
      </c>
      <c r="F121" s="160">
        <v>434880</v>
      </c>
      <c r="G121" s="160"/>
      <c r="H121" s="160">
        <f>F121+G121</f>
        <v>434880</v>
      </c>
      <c r="I121" s="160"/>
      <c r="J121" s="160">
        <f>H121+I121</f>
        <v>434880</v>
      </c>
      <c r="K121" s="160"/>
      <c r="L121" s="161">
        <f>J121+K121</f>
        <v>434880</v>
      </c>
      <c r="M121" s="160"/>
      <c r="N121" s="160">
        <f>L121+M121</f>
        <v>434880</v>
      </c>
      <c r="O121" s="160"/>
      <c r="P121" s="160"/>
      <c r="Q121" s="162"/>
      <c r="R121" s="160">
        <f>J121-P121</f>
        <v>434880</v>
      </c>
    </row>
    <row r="122" spans="1:19" s="73" customFormat="1" ht="19.5" customHeight="1" x14ac:dyDescent="0.25">
      <c r="A122" s="273" t="s">
        <v>161</v>
      </c>
      <c r="B122" s="274"/>
      <c r="C122" s="274"/>
      <c r="D122" s="274"/>
      <c r="E122" s="275"/>
      <c r="F122" s="163">
        <f t="shared" ref="F122:N122" si="48">F120+F121</f>
        <v>1874880</v>
      </c>
      <c r="G122" s="163">
        <f t="shared" si="48"/>
        <v>0</v>
      </c>
      <c r="H122" s="163">
        <f t="shared" si="48"/>
        <v>1874880</v>
      </c>
      <c r="I122" s="163">
        <f t="shared" si="48"/>
        <v>0</v>
      </c>
      <c r="J122" s="163">
        <f t="shared" si="48"/>
        <v>1874880</v>
      </c>
      <c r="K122" s="163">
        <f t="shared" si="48"/>
        <v>0</v>
      </c>
      <c r="L122" s="163">
        <f t="shared" si="48"/>
        <v>1874880</v>
      </c>
      <c r="M122" s="163">
        <f t="shared" si="48"/>
        <v>0</v>
      </c>
      <c r="N122" s="163">
        <f t="shared" si="48"/>
        <v>1874880</v>
      </c>
      <c r="O122" s="163"/>
      <c r="P122" s="163">
        <f>P120+P121</f>
        <v>0</v>
      </c>
      <c r="Q122" s="163">
        <f>Q120+Q121</f>
        <v>0</v>
      </c>
      <c r="R122" s="163">
        <f>R120+R121</f>
        <v>1874880</v>
      </c>
    </row>
    <row r="123" spans="1:19" s="73" customFormat="1" ht="29.25" customHeight="1" x14ac:dyDescent="0.25">
      <c r="A123" s="150"/>
      <c r="B123" s="151"/>
      <c r="C123" s="152"/>
      <c r="D123" s="152"/>
      <c r="E123" s="152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9" s="73" customFormat="1" ht="14.45" customHeight="1" x14ac:dyDescent="0.25">
      <c r="A124" s="279" t="s">
        <v>162</v>
      </c>
      <c r="B124" s="279"/>
      <c r="C124" s="279"/>
      <c r="D124" s="279"/>
      <c r="E124" s="279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9" s="73" customFormat="1" ht="14.45" customHeight="1" x14ac:dyDescent="0.25">
      <c r="A125" s="279"/>
      <c r="B125" s="279"/>
      <c r="C125" s="279"/>
      <c r="D125" s="279"/>
      <c r="E125" s="279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9" s="73" customFormat="1" ht="25.5" customHeight="1" x14ac:dyDescent="0.25">
      <c r="A126" s="157" t="s">
        <v>138</v>
      </c>
      <c r="B126" s="158"/>
      <c r="C126" s="32">
        <v>244</v>
      </c>
      <c r="D126" s="32">
        <v>226</v>
      </c>
      <c r="E126" s="159" t="s">
        <v>163</v>
      </c>
      <c r="F126" s="160">
        <v>2146240</v>
      </c>
      <c r="G126" s="160"/>
      <c r="H126" s="160">
        <f>F126+G126</f>
        <v>2146240</v>
      </c>
      <c r="I126" s="160"/>
      <c r="J126" s="160">
        <f>H126+I126</f>
        <v>2146240</v>
      </c>
      <c r="K126" s="160"/>
      <c r="L126" s="161">
        <f>J126+K126</f>
        <v>2146240</v>
      </c>
      <c r="M126" s="160"/>
      <c r="N126" s="160">
        <f>L126+M126</f>
        <v>2146240</v>
      </c>
      <c r="O126" s="111"/>
      <c r="P126" s="160"/>
      <c r="Q126" s="162">
        <f>189003.26+189405.68+188265.49+235549.84+207715.79+253238.72+250230.96</f>
        <v>1513409.74</v>
      </c>
      <c r="R126" s="160">
        <f>J126-Q126</f>
        <v>632830.26</v>
      </c>
    </row>
    <row r="127" spans="1:19" s="73" customFormat="1" ht="20.25" customHeight="1" x14ac:dyDescent="0.25">
      <c r="A127" s="273" t="s">
        <v>161</v>
      </c>
      <c r="B127" s="274"/>
      <c r="C127" s="274"/>
      <c r="D127" s="274"/>
      <c r="E127" s="275"/>
      <c r="F127" s="163">
        <f t="shared" ref="F127:N127" si="49">F126</f>
        <v>2146240</v>
      </c>
      <c r="G127" s="163">
        <f t="shared" si="49"/>
        <v>0</v>
      </c>
      <c r="H127" s="163">
        <f t="shared" si="49"/>
        <v>2146240</v>
      </c>
      <c r="I127" s="163">
        <f t="shared" si="49"/>
        <v>0</v>
      </c>
      <c r="J127" s="163">
        <f t="shared" si="49"/>
        <v>2146240</v>
      </c>
      <c r="K127" s="163">
        <f t="shared" si="49"/>
        <v>0</v>
      </c>
      <c r="L127" s="163">
        <f t="shared" si="49"/>
        <v>2146240</v>
      </c>
      <c r="M127" s="163">
        <f t="shared" si="49"/>
        <v>0</v>
      </c>
      <c r="N127" s="163">
        <f t="shared" si="49"/>
        <v>2146240</v>
      </c>
      <c r="O127" s="179"/>
      <c r="P127" s="163">
        <f>P126</f>
        <v>0</v>
      </c>
      <c r="Q127" s="163">
        <f>Q126</f>
        <v>1513409.74</v>
      </c>
      <c r="R127" s="163">
        <f>R126</f>
        <v>632830.26</v>
      </c>
      <c r="S127" s="93">
        <f>J126+J131</f>
        <v>4923677.21</v>
      </c>
    </row>
    <row r="128" spans="1:19" s="73" customFormat="1" ht="31.5" customHeight="1" x14ac:dyDescent="0.25">
      <c r="A128" s="180"/>
      <c r="B128" s="180"/>
      <c r="C128" s="181"/>
      <c r="D128" s="181"/>
      <c r="E128" s="181"/>
      <c r="F128" s="182"/>
      <c r="G128" s="182"/>
      <c r="H128" s="182"/>
      <c r="I128" s="182"/>
      <c r="J128" s="182"/>
      <c r="K128" s="182"/>
      <c r="L128" s="182"/>
      <c r="M128" s="182"/>
      <c r="N128" s="182"/>
      <c r="O128" s="183"/>
      <c r="P128" s="182"/>
      <c r="Q128" s="182"/>
      <c r="R128" s="182"/>
    </row>
    <row r="129" spans="1:18" s="73" customFormat="1" ht="18" customHeight="1" x14ac:dyDescent="0.25">
      <c r="A129" s="279" t="s">
        <v>164</v>
      </c>
      <c r="B129" s="279"/>
      <c r="C129" s="279"/>
      <c r="D129" s="279"/>
      <c r="E129" s="279"/>
      <c r="F129" s="182"/>
      <c r="G129" s="182"/>
      <c r="H129" s="182"/>
      <c r="I129" s="182"/>
      <c r="J129" s="182"/>
      <c r="K129" s="182"/>
      <c r="L129" s="182"/>
      <c r="M129" s="182"/>
      <c r="N129" s="182"/>
      <c r="O129" s="183"/>
      <c r="P129" s="182"/>
      <c r="Q129" s="182"/>
      <c r="R129" s="182"/>
    </row>
    <row r="130" spans="1:18" s="73" customFormat="1" ht="9.75" customHeight="1" x14ac:dyDescent="0.25">
      <c r="A130" s="279"/>
      <c r="B130" s="279"/>
      <c r="C130" s="279"/>
      <c r="D130" s="279"/>
      <c r="E130" s="279"/>
      <c r="F130" s="182"/>
      <c r="G130" s="182"/>
      <c r="H130" s="182"/>
      <c r="I130" s="182"/>
      <c r="J130" s="182"/>
      <c r="K130" s="182"/>
      <c r="L130" s="182"/>
      <c r="M130" s="182"/>
      <c r="N130" s="182"/>
      <c r="O130" s="183"/>
      <c r="P130" s="182"/>
      <c r="Q130" s="182"/>
      <c r="R130" s="182"/>
    </row>
    <row r="131" spans="1:18" s="73" customFormat="1" ht="23.25" customHeight="1" x14ac:dyDescent="0.25">
      <c r="A131" s="157" t="s">
        <v>138</v>
      </c>
      <c r="B131" s="184"/>
      <c r="C131" s="32">
        <v>244</v>
      </c>
      <c r="D131" s="32">
        <v>226</v>
      </c>
      <c r="E131" s="159" t="s">
        <v>163</v>
      </c>
      <c r="F131" s="160">
        <v>1511384</v>
      </c>
      <c r="G131" s="160"/>
      <c r="H131" s="160">
        <f>F131+G131</f>
        <v>1511384</v>
      </c>
      <c r="I131" s="160">
        <v>1266053.21</v>
      </c>
      <c r="J131" s="160">
        <f>H131+I131</f>
        <v>2777437.21</v>
      </c>
      <c r="K131" s="160"/>
      <c r="L131" s="161">
        <f>J131+K131</f>
        <v>2777437.21</v>
      </c>
      <c r="M131" s="160"/>
      <c r="N131" s="160">
        <f>L131+M131</f>
        <v>2777437.21</v>
      </c>
      <c r="O131" s="160"/>
      <c r="P131" s="160"/>
      <c r="Q131" s="162">
        <f>242973.49+250390.62+240311.09+287383.21+247256.76+324731.82+332298.1</f>
        <v>1925345.0899999999</v>
      </c>
      <c r="R131" s="160">
        <f>L131-Q131</f>
        <v>852092.12000000011</v>
      </c>
    </row>
    <row r="132" spans="1:18" s="73" customFormat="1" ht="20.25" customHeight="1" x14ac:dyDescent="0.25">
      <c r="A132" s="273" t="s">
        <v>161</v>
      </c>
      <c r="B132" s="274"/>
      <c r="C132" s="274"/>
      <c r="D132" s="274"/>
      <c r="E132" s="275"/>
      <c r="F132" s="163">
        <f t="shared" ref="F132:N132" si="50">F131</f>
        <v>1511384</v>
      </c>
      <c r="G132" s="163">
        <f t="shared" si="50"/>
        <v>0</v>
      </c>
      <c r="H132" s="163">
        <f t="shared" si="50"/>
        <v>1511384</v>
      </c>
      <c r="I132" s="163">
        <f t="shared" si="50"/>
        <v>1266053.21</v>
      </c>
      <c r="J132" s="163">
        <f t="shared" si="50"/>
        <v>2777437.21</v>
      </c>
      <c r="K132" s="163">
        <f t="shared" si="50"/>
        <v>0</v>
      </c>
      <c r="L132" s="163">
        <f t="shared" si="50"/>
        <v>2777437.21</v>
      </c>
      <c r="M132" s="163">
        <f t="shared" si="50"/>
        <v>0</v>
      </c>
      <c r="N132" s="163">
        <f t="shared" si="50"/>
        <v>2777437.21</v>
      </c>
      <c r="O132" s="163"/>
      <c r="P132" s="163">
        <f>P131</f>
        <v>0</v>
      </c>
      <c r="Q132" s="163">
        <f>Q131</f>
        <v>1925345.0899999999</v>
      </c>
      <c r="R132" s="163">
        <f>R131</f>
        <v>852092.12000000011</v>
      </c>
    </row>
    <row r="133" spans="1:18" s="73" customFormat="1" ht="20.25" customHeight="1" x14ac:dyDescent="0.25">
      <c r="A133" s="185"/>
      <c r="B133" s="185"/>
      <c r="C133" s="185"/>
      <c r="D133" s="185"/>
      <c r="E133" s="185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</row>
    <row r="134" spans="1:18" s="73" customFormat="1" ht="20.25" customHeight="1" x14ac:dyDescent="0.25">
      <c r="A134" s="304" t="s">
        <v>165</v>
      </c>
      <c r="B134" s="305"/>
      <c r="C134" s="305"/>
      <c r="D134" s="305"/>
      <c r="E134" s="306"/>
      <c r="F134" s="182"/>
      <c r="G134" s="182"/>
      <c r="H134" s="182"/>
      <c r="I134" s="182"/>
      <c r="J134" s="182"/>
      <c r="K134" s="182"/>
      <c r="L134" s="182"/>
      <c r="M134" s="182"/>
      <c r="N134" s="182"/>
      <c r="O134" s="183"/>
      <c r="P134" s="182"/>
      <c r="Q134" s="182"/>
      <c r="R134" s="182"/>
    </row>
    <row r="135" spans="1:18" s="73" customFormat="1" ht="23.25" customHeight="1" x14ac:dyDescent="0.25">
      <c r="A135" s="307"/>
      <c r="B135" s="308"/>
      <c r="C135" s="308"/>
      <c r="D135" s="308"/>
      <c r="E135" s="309"/>
      <c r="F135" s="182"/>
      <c r="G135" s="182"/>
      <c r="H135" s="182"/>
      <c r="I135" s="182"/>
      <c r="J135" s="182"/>
      <c r="K135" s="182"/>
      <c r="L135" s="182"/>
      <c r="M135" s="182"/>
      <c r="N135" s="182"/>
      <c r="O135" s="183"/>
      <c r="P135" s="182"/>
      <c r="Q135" s="182"/>
      <c r="R135" s="182"/>
    </row>
    <row r="136" spans="1:18" s="73" customFormat="1" ht="35.25" customHeight="1" x14ac:dyDescent="0.25">
      <c r="A136" s="157" t="s">
        <v>138</v>
      </c>
      <c r="B136" s="184"/>
      <c r="C136" s="32">
        <v>244</v>
      </c>
      <c r="D136" s="32">
        <v>226</v>
      </c>
      <c r="E136" s="33" t="s">
        <v>166</v>
      </c>
      <c r="F136" s="160"/>
      <c r="G136" s="160">
        <v>306900</v>
      </c>
      <c r="H136" s="160">
        <f>F136+G136</f>
        <v>306900</v>
      </c>
      <c r="I136" s="160"/>
      <c r="J136" s="160">
        <f>H136+I136</f>
        <v>306900</v>
      </c>
      <c r="K136" s="160"/>
      <c r="L136" s="161">
        <f>J136+K136</f>
        <v>306900</v>
      </c>
      <c r="M136" s="160">
        <v>-86000</v>
      </c>
      <c r="N136" s="160">
        <f>L136+M136</f>
        <v>220900</v>
      </c>
      <c r="O136" s="160" t="s">
        <v>167</v>
      </c>
      <c r="P136" s="160">
        <f>76475.7+41272.6</f>
        <v>117748.29999999999</v>
      </c>
      <c r="Q136" s="162">
        <f>13595.68+11653.44+7162.01+15780.7+8740.08+4855.6+8497.3+11896.22</f>
        <v>82181.03</v>
      </c>
      <c r="R136" s="160">
        <f>L136-P136</f>
        <v>189151.7</v>
      </c>
    </row>
    <row r="137" spans="1:18" s="73" customFormat="1" ht="23.25" customHeight="1" x14ac:dyDescent="0.25">
      <c r="A137" s="273" t="s">
        <v>161</v>
      </c>
      <c r="B137" s="274"/>
      <c r="C137" s="274"/>
      <c r="D137" s="274"/>
      <c r="E137" s="275"/>
      <c r="F137" s="163">
        <f t="shared" ref="F137:N137" si="51">F136</f>
        <v>0</v>
      </c>
      <c r="G137" s="163">
        <f t="shared" si="51"/>
        <v>306900</v>
      </c>
      <c r="H137" s="163">
        <f t="shared" si="51"/>
        <v>306900</v>
      </c>
      <c r="I137" s="163">
        <f t="shared" si="51"/>
        <v>0</v>
      </c>
      <c r="J137" s="163">
        <f t="shared" si="51"/>
        <v>306900</v>
      </c>
      <c r="K137" s="163">
        <f t="shared" si="51"/>
        <v>0</v>
      </c>
      <c r="L137" s="163">
        <f t="shared" si="51"/>
        <v>306900</v>
      </c>
      <c r="M137" s="163">
        <f t="shared" si="51"/>
        <v>-86000</v>
      </c>
      <c r="N137" s="163">
        <f t="shared" si="51"/>
        <v>220900</v>
      </c>
      <c r="O137" s="163"/>
      <c r="P137" s="163">
        <f>P136</f>
        <v>117748.29999999999</v>
      </c>
      <c r="Q137" s="163">
        <f>Q136</f>
        <v>82181.03</v>
      </c>
      <c r="R137" s="163">
        <f>R136</f>
        <v>189151.7</v>
      </c>
    </row>
    <row r="138" spans="1:18" s="73" customFormat="1" ht="33" customHeight="1" x14ac:dyDescent="0.25">
      <c r="A138" s="187"/>
      <c r="B138" s="188"/>
      <c r="C138" s="185"/>
      <c r="D138" s="185"/>
      <c r="E138" s="185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1:18" s="119" customFormat="1" ht="27" customHeight="1" x14ac:dyDescent="0.25">
      <c r="A139" s="298" t="s">
        <v>168</v>
      </c>
      <c r="B139" s="299"/>
      <c r="C139" s="181"/>
      <c r="D139" s="181"/>
      <c r="E139" s="181"/>
      <c r="F139" s="117"/>
      <c r="G139" s="117"/>
      <c r="H139" s="117"/>
      <c r="I139" s="117"/>
      <c r="J139" s="189"/>
      <c r="K139" s="189"/>
      <c r="L139" s="190"/>
      <c r="M139" s="190"/>
      <c r="N139" s="190"/>
      <c r="O139" s="191"/>
      <c r="P139" s="190"/>
      <c r="Q139" s="190"/>
      <c r="R139" s="190"/>
    </row>
    <row r="140" spans="1:18" s="196" customFormat="1" ht="45.75" customHeight="1" x14ac:dyDescent="0.25">
      <c r="A140" s="192" t="s">
        <v>169</v>
      </c>
      <c r="B140" s="59" t="s">
        <v>170</v>
      </c>
      <c r="C140" s="60">
        <v>244</v>
      </c>
      <c r="D140" s="60">
        <v>225</v>
      </c>
      <c r="E140" s="61" t="s">
        <v>171</v>
      </c>
      <c r="F140" s="193"/>
      <c r="G140" s="193">
        <v>19176</v>
      </c>
      <c r="H140" s="193">
        <f>G140+F140</f>
        <v>19176</v>
      </c>
      <c r="I140" s="193">
        <v>-1008.64</v>
      </c>
      <c r="J140" s="193">
        <f>I140+H140</f>
        <v>18167.36</v>
      </c>
      <c r="K140" s="193"/>
      <c r="L140" s="194">
        <f>K140+J140</f>
        <v>18167.36</v>
      </c>
      <c r="M140" s="193"/>
      <c r="N140" s="193">
        <f>M140+L140</f>
        <v>18167.36</v>
      </c>
      <c r="O140" s="300" t="s">
        <v>172</v>
      </c>
      <c r="P140" s="302">
        <f>25767.36+800-800</f>
        <v>25767.360000000001</v>
      </c>
      <c r="Q140" s="195">
        <f>1598+1598+1598+1598+1598+100+799+100+799+799+1598+1598+1598</f>
        <v>15381</v>
      </c>
      <c r="R140" s="289">
        <f>L140+L141-P140</f>
        <v>0</v>
      </c>
    </row>
    <row r="141" spans="1:18" s="196" customFormat="1" ht="36.75" customHeight="1" x14ac:dyDescent="0.25">
      <c r="A141" s="197" t="s">
        <v>169</v>
      </c>
      <c r="B141" s="59" t="s">
        <v>170</v>
      </c>
      <c r="C141" s="60">
        <v>244</v>
      </c>
      <c r="D141" s="60">
        <v>224</v>
      </c>
      <c r="E141" s="61" t="s">
        <v>173</v>
      </c>
      <c r="F141" s="193"/>
      <c r="G141" s="193">
        <v>7600</v>
      </c>
      <c r="H141" s="193">
        <f>G141+F141</f>
        <v>7600</v>
      </c>
      <c r="I141" s="193"/>
      <c r="J141" s="193">
        <f>I141+H141</f>
        <v>7600</v>
      </c>
      <c r="K141" s="193"/>
      <c r="L141" s="194">
        <f>K141+J141</f>
        <v>7600</v>
      </c>
      <c r="M141" s="193"/>
      <c r="N141" s="193">
        <f>M141+L141</f>
        <v>7600</v>
      </c>
      <c r="O141" s="301"/>
      <c r="P141" s="303"/>
      <c r="Q141" s="195">
        <f>549.28+549.28+549.28+549.28+549.28+549.28+549.28+549.28+549.28+549.28+549.28</f>
        <v>6042.0799999999981</v>
      </c>
      <c r="R141" s="290"/>
    </row>
    <row r="142" spans="1:18" s="196" customFormat="1" ht="34.5" customHeight="1" x14ac:dyDescent="0.25">
      <c r="A142" s="197" t="s">
        <v>169</v>
      </c>
      <c r="B142" s="59" t="s">
        <v>170</v>
      </c>
      <c r="C142" s="60">
        <v>244</v>
      </c>
      <c r="D142" s="60">
        <v>226</v>
      </c>
      <c r="E142" s="61" t="s">
        <v>174</v>
      </c>
      <c r="F142" s="193"/>
      <c r="G142" s="193">
        <v>79084.800000000003</v>
      </c>
      <c r="H142" s="193">
        <f>G142+F142</f>
        <v>79084.800000000003</v>
      </c>
      <c r="I142" s="193"/>
      <c r="J142" s="193">
        <f>I142+H142</f>
        <v>79084.800000000003</v>
      </c>
      <c r="K142" s="193"/>
      <c r="L142" s="194">
        <f>K142+J142</f>
        <v>79084.800000000003</v>
      </c>
      <c r="M142" s="193"/>
      <c r="N142" s="193">
        <f>M142+L142</f>
        <v>79084.800000000003</v>
      </c>
      <c r="O142" s="198" t="s">
        <v>175</v>
      </c>
      <c r="P142" s="194">
        <v>79084.800000000003</v>
      </c>
      <c r="Q142" s="195">
        <f>6590.4+6590.4+6590.4+6590.4+6590.4+6590.4+6590.4+6590.4+6590.4+6590.4+6590.4</f>
        <v>72494.399999999994</v>
      </c>
      <c r="R142" s="193">
        <f>L142-P142</f>
        <v>0</v>
      </c>
    </row>
    <row r="143" spans="1:18" s="196" customFormat="1" ht="34.5" customHeight="1" x14ac:dyDescent="0.25">
      <c r="A143" s="197" t="s">
        <v>169</v>
      </c>
      <c r="B143" s="59" t="s">
        <v>170</v>
      </c>
      <c r="C143" s="60">
        <v>244</v>
      </c>
      <c r="D143" s="60">
        <v>226</v>
      </c>
      <c r="E143" s="61" t="s">
        <v>176</v>
      </c>
      <c r="F143" s="193"/>
      <c r="G143" s="193"/>
      <c r="H143" s="193"/>
      <c r="I143" s="193">
        <v>40000</v>
      </c>
      <c r="J143" s="193">
        <f>I143+H143</f>
        <v>40000</v>
      </c>
      <c r="K143" s="193"/>
      <c r="L143" s="194">
        <f>K143+J143</f>
        <v>40000</v>
      </c>
      <c r="M143" s="193"/>
      <c r="N143" s="193">
        <f t="shared" ref="N143:N145" si="52">M143+L143</f>
        <v>40000</v>
      </c>
      <c r="O143" s="198" t="s">
        <v>177</v>
      </c>
      <c r="P143" s="194">
        <f>20000+20000</f>
        <v>40000</v>
      </c>
      <c r="Q143" s="195">
        <f>20000+20000</f>
        <v>40000</v>
      </c>
      <c r="R143" s="193">
        <f>L143-P143</f>
        <v>0</v>
      </c>
    </row>
    <row r="144" spans="1:18" s="196" customFormat="1" ht="34.5" customHeight="1" x14ac:dyDescent="0.25">
      <c r="A144" s="197" t="s">
        <v>169</v>
      </c>
      <c r="B144" s="59" t="s">
        <v>170</v>
      </c>
      <c r="C144" s="60">
        <v>244</v>
      </c>
      <c r="D144" s="60">
        <v>228</v>
      </c>
      <c r="E144" s="61" t="s">
        <v>178</v>
      </c>
      <c r="F144" s="193"/>
      <c r="G144" s="193"/>
      <c r="H144" s="193"/>
      <c r="I144" s="193"/>
      <c r="J144" s="193"/>
      <c r="K144" s="193">
        <f>8018.55+31161.45</f>
        <v>39180</v>
      </c>
      <c r="L144" s="194">
        <f>K144+J144</f>
        <v>39180</v>
      </c>
      <c r="M144" s="193"/>
      <c r="N144" s="193">
        <f t="shared" si="52"/>
        <v>39180</v>
      </c>
      <c r="O144" s="198" t="s">
        <v>179</v>
      </c>
      <c r="P144" s="194">
        <f>28172.4+11007.6</f>
        <v>39180</v>
      </c>
      <c r="Q144" s="195">
        <f>11007.6+28172.4</f>
        <v>39180</v>
      </c>
      <c r="R144" s="193">
        <f>L144-P144</f>
        <v>0</v>
      </c>
    </row>
    <row r="145" spans="1:48" s="196" customFormat="1" ht="40.5" customHeight="1" x14ac:dyDescent="0.25">
      <c r="A145" s="197" t="s">
        <v>169</v>
      </c>
      <c r="B145" s="199" t="s">
        <v>170</v>
      </c>
      <c r="C145" s="60">
        <v>244</v>
      </c>
      <c r="D145" s="60">
        <v>310</v>
      </c>
      <c r="E145" s="61" t="s">
        <v>180</v>
      </c>
      <c r="F145" s="200"/>
      <c r="G145" s="200"/>
      <c r="H145" s="200"/>
      <c r="I145" s="200"/>
      <c r="J145" s="200">
        <f t="shared" ref="J145" si="53">I145+H145</f>
        <v>0</v>
      </c>
      <c r="K145" s="200">
        <f>1603710-8018.55</f>
        <v>1595691.45</v>
      </c>
      <c r="L145" s="200">
        <f t="shared" ref="L145" si="54">K145+J145</f>
        <v>1595691.45</v>
      </c>
      <c r="M145" s="200"/>
      <c r="N145" s="200">
        <f t="shared" si="52"/>
        <v>1595691.45</v>
      </c>
      <c r="O145" s="201" t="s">
        <v>181</v>
      </c>
      <c r="P145" s="200">
        <v>1595691.45</v>
      </c>
      <c r="Q145" s="202">
        <v>1595691.45</v>
      </c>
      <c r="R145" s="193">
        <f>L145-P145</f>
        <v>0</v>
      </c>
      <c r="S145" s="203"/>
      <c r="T145" s="203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</row>
    <row r="146" spans="1:48" s="119" customFormat="1" ht="20.25" customHeight="1" x14ac:dyDescent="0.25">
      <c r="A146" s="273" t="s">
        <v>161</v>
      </c>
      <c r="B146" s="274"/>
      <c r="C146" s="274"/>
      <c r="D146" s="274"/>
      <c r="E146" s="275"/>
      <c r="F146" s="163">
        <f t="shared" ref="F146:H146" si="55">SUM(F140:F142)</f>
        <v>0</v>
      </c>
      <c r="G146" s="163">
        <f t="shared" si="55"/>
        <v>105860.8</v>
      </c>
      <c r="H146" s="163">
        <f t="shared" si="55"/>
        <v>105860.8</v>
      </c>
      <c r="I146" s="163">
        <f>SUM(I140:I143)</f>
        <v>38991.360000000001</v>
      </c>
      <c r="J146" s="163">
        <f t="shared" ref="J146" si="56">SUM(J140:J143)</f>
        <v>144852.16</v>
      </c>
      <c r="K146" s="163">
        <f>SUM(K140:K145)</f>
        <v>1634871.45</v>
      </c>
      <c r="L146" s="163">
        <f>SUM(L140:L145)</f>
        <v>1779723.6099999999</v>
      </c>
      <c r="M146" s="163">
        <f t="shared" ref="M146:R146" si="57">SUM(M140:M145)</f>
        <v>0</v>
      </c>
      <c r="N146" s="163">
        <f t="shared" si="57"/>
        <v>1779723.6099999999</v>
      </c>
      <c r="O146" s="163">
        <f t="shared" si="57"/>
        <v>0</v>
      </c>
      <c r="P146" s="163">
        <f t="shared" si="57"/>
        <v>1779723.6099999999</v>
      </c>
      <c r="Q146" s="163">
        <f t="shared" si="57"/>
        <v>1768788.93</v>
      </c>
      <c r="R146" s="163">
        <f t="shared" si="57"/>
        <v>0</v>
      </c>
    </row>
    <row r="147" spans="1:48" s="119" customFormat="1" ht="30" customHeight="1" x14ac:dyDescent="0.25">
      <c r="A147" s="180"/>
      <c r="B147" s="205"/>
      <c r="C147" s="181"/>
      <c r="D147" s="181"/>
      <c r="E147" s="181"/>
      <c r="F147" s="117"/>
      <c r="G147" s="206"/>
      <c r="H147" s="117"/>
      <c r="I147" s="117"/>
      <c r="J147" s="189"/>
      <c r="K147" s="189"/>
      <c r="L147" s="189"/>
      <c r="M147" s="189"/>
      <c r="N147" s="189"/>
      <c r="O147" s="191"/>
      <c r="P147" s="189"/>
      <c r="Q147" s="189"/>
      <c r="R147" s="207"/>
    </row>
    <row r="148" spans="1:48" s="119" customFormat="1" ht="22.5" customHeight="1" x14ac:dyDescent="0.25">
      <c r="A148" s="295" t="s">
        <v>182</v>
      </c>
      <c r="B148" s="295"/>
      <c r="C148" s="295"/>
      <c r="D148" s="295"/>
      <c r="E148" s="295"/>
      <c r="F148" s="117"/>
      <c r="G148" s="117"/>
      <c r="H148" s="117"/>
      <c r="I148" s="117"/>
      <c r="J148" s="189"/>
      <c r="K148" s="189"/>
      <c r="L148" s="190"/>
      <c r="M148" s="190"/>
      <c r="N148" s="190"/>
      <c r="O148" s="191"/>
      <c r="P148" s="189"/>
      <c r="Q148" s="189"/>
      <c r="R148" s="189"/>
    </row>
    <row r="149" spans="1:48" s="213" customFormat="1" ht="33" customHeight="1" x14ac:dyDescent="0.25">
      <c r="A149" s="208" t="s">
        <v>169</v>
      </c>
      <c r="B149" s="209" t="s">
        <v>170</v>
      </c>
      <c r="C149" s="210">
        <v>244</v>
      </c>
      <c r="D149" s="210">
        <v>225</v>
      </c>
      <c r="E149" s="201" t="s">
        <v>183</v>
      </c>
      <c r="F149" s="200"/>
      <c r="G149" s="200">
        <v>2000000</v>
      </c>
      <c r="H149" s="200">
        <f>G149+F149</f>
        <v>2000000</v>
      </c>
      <c r="I149" s="200"/>
      <c r="J149" s="211">
        <f>I149+H149</f>
        <v>2000000</v>
      </c>
      <c r="K149" s="211">
        <v>-12978.12</v>
      </c>
      <c r="L149" s="211">
        <f>K149+J149</f>
        <v>1987021.88</v>
      </c>
      <c r="M149" s="211"/>
      <c r="N149" s="211">
        <f>M149+L149</f>
        <v>1987021.88</v>
      </c>
      <c r="O149" s="209" t="s">
        <v>184</v>
      </c>
      <c r="P149" s="211">
        <f>880000+572400+331298+203323.88</f>
        <v>1987021.88</v>
      </c>
      <c r="Q149" s="212">
        <f>572400+880000+331298+203323.88</f>
        <v>1987021.88</v>
      </c>
      <c r="R149" s="211">
        <f>L149-P149</f>
        <v>0</v>
      </c>
    </row>
    <row r="150" spans="1:48" s="213" customFormat="1" ht="33" customHeight="1" x14ac:dyDescent="0.25">
      <c r="A150" s="208" t="s">
        <v>169</v>
      </c>
      <c r="B150" s="209" t="s">
        <v>185</v>
      </c>
      <c r="C150" s="210" t="s">
        <v>186</v>
      </c>
      <c r="D150" s="210" t="s">
        <v>187</v>
      </c>
      <c r="E150" s="201" t="s">
        <v>188</v>
      </c>
      <c r="F150" s="200"/>
      <c r="G150" s="200"/>
      <c r="H150" s="200"/>
      <c r="I150" s="200"/>
      <c r="J150" s="211"/>
      <c r="K150" s="211">
        <v>12978.12</v>
      </c>
      <c r="L150" s="211">
        <f>K150+J150</f>
        <v>12978.12</v>
      </c>
      <c r="M150" s="211"/>
      <c r="N150" s="211">
        <f t="shared" ref="N150:N151" si="58">M150+L150</f>
        <v>12978.12</v>
      </c>
      <c r="O150" s="209" t="s">
        <v>189</v>
      </c>
      <c r="P150" s="211">
        <v>12978.12</v>
      </c>
      <c r="Q150" s="212">
        <v>12978.12</v>
      </c>
      <c r="R150" s="211">
        <f>L150-P150</f>
        <v>0</v>
      </c>
    </row>
    <row r="151" spans="1:48" s="213" customFormat="1" ht="33" customHeight="1" x14ac:dyDescent="0.25">
      <c r="A151" s="214" t="s">
        <v>169</v>
      </c>
      <c r="B151" s="209" t="s">
        <v>185</v>
      </c>
      <c r="C151" s="210" t="s">
        <v>186</v>
      </c>
      <c r="D151" s="210" t="s">
        <v>187</v>
      </c>
      <c r="E151" s="201" t="s">
        <v>190</v>
      </c>
      <c r="F151" s="200"/>
      <c r="G151" s="200"/>
      <c r="H151" s="200"/>
      <c r="I151" s="200">
        <v>21800</v>
      </c>
      <c r="J151" s="211">
        <f>I151+H151</f>
        <v>21800</v>
      </c>
      <c r="K151" s="211"/>
      <c r="L151" s="211">
        <f>K151+J151</f>
        <v>21800</v>
      </c>
      <c r="M151" s="211"/>
      <c r="N151" s="211">
        <f t="shared" si="58"/>
        <v>21800</v>
      </c>
      <c r="O151" s="209" t="s">
        <v>191</v>
      </c>
      <c r="P151" s="211">
        <v>11700</v>
      </c>
      <c r="Q151" s="212">
        <v>11700</v>
      </c>
      <c r="R151" s="211">
        <f>L151-P151</f>
        <v>10100</v>
      </c>
    </row>
    <row r="152" spans="1:48" s="119" customFormat="1" ht="20.25" customHeight="1" x14ac:dyDescent="0.25">
      <c r="A152" s="273" t="s">
        <v>161</v>
      </c>
      <c r="B152" s="274"/>
      <c r="C152" s="274"/>
      <c r="D152" s="274"/>
      <c r="E152" s="275"/>
      <c r="F152" s="215">
        <f>F149</f>
        <v>0</v>
      </c>
      <c r="G152" s="215">
        <f>G149+G151</f>
        <v>2000000</v>
      </c>
      <c r="H152" s="215">
        <f t="shared" ref="H152:I152" si="59">H149+H151</f>
        <v>2000000</v>
      </c>
      <c r="I152" s="215">
        <f t="shared" si="59"/>
        <v>21800</v>
      </c>
      <c r="J152" s="215">
        <f>J149+J151+J150</f>
        <v>2021800</v>
      </c>
      <c r="K152" s="215">
        <f t="shared" ref="K152:R152" si="60">K149+K151+K150</f>
        <v>0</v>
      </c>
      <c r="L152" s="215">
        <f t="shared" si="60"/>
        <v>2021800</v>
      </c>
      <c r="M152" s="215">
        <f t="shared" si="60"/>
        <v>0</v>
      </c>
      <c r="N152" s="215">
        <f t="shared" si="60"/>
        <v>2021800</v>
      </c>
      <c r="O152" s="215"/>
      <c r="P152" s="215">
        <f t="shared" si="60"/>
        <v>2011700</v>
      </c>
      <c r="Q152" s="215">
        <f t="shared" si="60"/>
        <v>2011700</v>
      </c>
      <c r="R152" s="215">
        <f t="shared" si="60"/>
        <v>10100</v>
      </c>
    </row>
    <row r="153" spans="1:48" s="119" customFormat="1" ht="14.45" customHeight="1" x14ac:dyDescent="0.25">
      <c r="A153" s="180"/>
      <c r="B153" s="205"/>
      <c r="C153" s="181"/>
      <c r="D153" s="181"/>
      <c r="E153" s="181"/>
      <c r="F153" s="117"/>
      <c r="G153" s="206"/>
      <c r="H153" s="117"/>
      <c r="I153" s="117"/>
      <c r="J153" s="189"/>
      <c r="K153" s="189"/>
      <c r="L153" s="189"/>
      <c r="M153" s="189"/>
      <c r="N153" s="189"/>
      <c r="O153" s="191"/>
      <c r="P153" s="189"/>
      <c r="Q153" s="189"/>
      <c r="R153" s="207"/>
    </row>
    <row r="154" spans="1:48" s="119" customFormat="1" ht="14.45" customHeight="1" x14ac:dyDescent="0.25">
      <c r="A154" s="180"/>
      <c r="B154" s="205"/>
      <c r="C154" s="181"/>
      <c r="D154" s="181"/>
      <c r="E154" s="181"/>
      <c r="F154" s="117"/>
      <c r="G154" s="206"/>
      <c r="H154" s="117"/>
      <c r="I154" s="117"/>
      <c r="J154" s="189"/>
      <c r="K154" s="189"/>
      <c r="L154" s="189"/>
      <c r="M154" s="189"/>
      <c r="N154" s="189"/>
      <c r="O154" s="191"/>
      <c r="P154" s="189"/>
      <c r="Q154" s="189"/>
      <c r="R154" s="207"/>
    </row>
    <row r="155" spans="1:48" s="119" customFormat="1" ht="14.45" customHeight="1" x14ac:dyDescent="0.25">
      <c r="A155" s="283" t="s">
        <v>192</v>
      </c>
      <c r="B155" s="284"/>
      <c r="C155" s="284"/>
      <c r="D155" s="284"/>
      <c r="E155" s="285"/>
      <c r="F155" s="117"/>
      <c r="G155" s="206"/>
      <c r="H155" s="117"/>
      <c r="I155" s="117"/>
      <c r="J155" s="189"/>
      <c r="K155" s="189"/>
      <c r="L155" s="189"/>
      <c r="M155" s="189"/>
      <c r="N155" s="189"/>
      <c r="O155" s="191"/>
      <c r="P155" s="189"/>
      <c r="Q155" s="189"/>
      <c r="R155" s="207"/>
    </row>
    <row r="156" spans="1:48" s="119" customFormat="1" ht="14.45" customHeight="1" x14ac:dyDescent="0.25">
      <c r="A156" s="286"/>
      <c r="B156" s="287"/>
      <c r="C156" s="287"/>
      <c r="D156" s="287"/>
      <c r="E156" s="288"/>
      <c r="F156" s="117"/>
      <c r="G156" s="206"/>
      <c r="H156" s="117"/>
      <c r="I156" s="117"/>
      <c r="J156" s="189"/>
      <c r="K156" s="189"/>
      <c r="L156" s="189"/>
      <c r="M156" s="189"/>
      <c r="N156" s="189"/>
      <c r="O156" s="191"/>
      <c r="P156" s="189"/>
      <c r="Q156" s="189"/>
      <c r="R156" s="207"/>
    </row>
    <row r="157" spans="1:48" s="119" customFormat="1" ht="31.5" customHeight="1" x14ac:dyDescent="0.25">
      <c r="A157" s="208" t="s">
        <v>169</v>
      </c>
      <c r="B157" s="216"/>
      <c r="C157" s="32">
        <v>244</v>
      </c>
      <c r="D157" s="32">
        <v>225</v>
      </c>
      <c r="E157" s="159" t="s">
        <v>193</v>
      </c>
      <c r="F157" s="217"/>
      <c r="G157" s="217"/>
      <c r="H157" s="217"/>
      <c r="I157" s="217"/>
      <c r="J157" s="218">
        <f>H157+I157</f>
        <v>0</v>
      </c>
      <c r="K157" s="218"/>
      <c r="L157" s="219">
        <f>J157+K157</f>
        <v>0</v>
      </c>
      <c r="M157" s="218"/>
      <c r="N157" s="218">
        <f>L157+M157</f>
        <v>0</v>
      </c>
      <c r="O157" s="220"/>
      <c r="P157" s="218"/>
      <c r="Q157" s="221"/>
      <c r="R157" s="218">
        <f>N157-Q157</f>
        <v>0</v>
      </c>
    </row>
    <row r="158" spans="1:48" s="119" customFormat="1" ht="20.25" customHeight="1" x14ac:dyDescent="0.25">
      <c r="A158" s="273" t="s">
        <v>161</v>
      </c>
      <c r="B158" s="274"/>
      <c r="C158" s="274"/>
      <c r="D158" s="274"/>
      <c r="E158" s="275"/>
      <c r="F158" s="222"/>
      <c r="G158" s="222"/>
      <c r="H158" s="222"/>
      <c r="I158" s="222">
        <f t="shared" ref="I158:N158" si="61">I157</f>
        <v>0</v>
      </c>
      <c r="J158" s="223">
        <f t="shared" si="61"/>
        <v>0</v>
      </c>
      <c r="K158" s="223">
        <f t="shared" si="61"/>
        <v>0</v>
      </c>
      <c r="L158" s="223">
        <f t="shared" si="61"/>
        <v>0</v>
      </c>
      <c r="M158" s="223">
        <f t="shared" si="61"/>
        <v>0</v>
      </c>
      <c r="N158" s="223">
        <f t="shared" si="61"/>
        <v>0</v>
      </c>
      <c r="O158" s="224"/>
      <c r="P158" s="223">
        <f>P157</f>
        <v>0</v>
      </c>
      <c r="Q158" s="223">
        <f>Q157</f>
        <v>0</v>
      </c>
      <c r="R158" s="223">
        <f>R157</f>
        <v>0</v>
      </c>
    </row>
    <row r="159" spans="1:48" s="119" customFormat="1" ht="24" customHeight="1" x14ac:dyDescent="0.25">
      <c r="A159" s="180"/>
      <c r="B159" s="205"/>
      <c r="C159" s="181"/>
      <c r="D159" s="181"/>
      <c r="E159" s="181"/>
      <c r="F159" s="117"/>
      <c r="G159" s="206"/>
      <c r="H159" s="117"/>
      <c r="I159" s="117"/>
      <c r="J159" s="189"/>
      <c r="K159" s="189"/>
      <c r="L159" s="189"/>
      <c r="M159" s="189"/>
      <c r="N159" s="189"/>
      <c r="O159" s="191"/>
      <c r="P159" s="189"/>
      <c r="Q159" s="189"/>
      <c r="R159" s="207"/>
    </row>
    <row r="160" spans="1:48" s="119" customFormat="1" ht="14.45" customHeight="1" x14ac:dyDescent="0.25">
      <c r="A160" s="283" t="s">
        <v>194</v>
      </c>
      <c r="B160" s="284"/>
      <c r="C160" s="284"/>
      <c r="D160" s="284"/>
      <c r="E160" s="285"/>
      <c r="F160" s="117"/>
      <c r="G160" s="206"/>
      <c r="H160" s="117"/>
      <c r="I160" s="117"/>
      <c r="J160" s="189"/>
      <c r="K160" s="189"/>
      <c r="L160" s="189"/>
      <c r="M160" s="189"/>
      <c r="N160" s="189"/>
      <c r="O160" s="191"/>
      <c r="P160" s="189"/>
      <c r="Q160" s="189"/>
      <c r="R160" s="207"/>
    </row>
    <row r="161" spans="1:19" s="119" customFormat="1" ht="14.45" customHeight="1" x14ac:dyDescent="0.25">
      <c r="A161" s="286"/>
      <c r="B161" s="287"/>
      <c r="C161" s="287"/>
      <c r="D161" s="287"/>
      <c r="E161" s="288"/>
      <c r="F161" s="117"/>
      <c r="G161" s="206"/>
      <c r="H161" s="117"/>
      <c r="I161" s="117"/>
      <c r="J161" s="189"/>
      <c r="K161" s="189"/>
      <c r="L161" s="189"/>
      <c r="M161" s="189"/>
      <c r="N161" s="189"/>
      <c r="O161" s="191"/>
      <c r="P161" s="189"/>
      <c r="Q161" s="189"/>
      <c r="R161" s="207"/>
    </row>
    <row r="162" spans="1:19" s="119" customFormat="1" ht="26.25" customHeight="1" x14ac:dyDescent="0.25">
      <c r="A162" s="208" t="s">
        <v>169</v>
      </c>
      <c r="B162" s="158" t="s">
        <v>170</v>
      </c>
      <c r="C162" s="32">
        <v>111</v>
      </c>
      <c r="D162" s="32">
        <v>211</v>
      </c>
      <c r="E162" s="159" t="s">
        <v>21</v>
      </c>
      <c r="F162" s="225"/>
      <c r="G162" s="226"/>
      <c r="H162" s="225"/>
      <c r="I162" s="217"/>
      <c r="J162" s="218">
        <f>H162+I162</f>
        <v>0</v>
      </c>
      <c r="K162" s="218"/>
      <c r="L162" s="219">
        <f>J162+K162</f>
        <v>0</v>
      </c>
      <c r="M162" s="218"/>
      <c r="N162" s="218">
        <f>L162+M162</f>
        <v>0</v>
      </c>
      <c r="O162" s="227"/>
      <c r="P162" s="218"/>
      <c r="Q162" s="221"/>
      <c r="R162" s="218">
        <f>N162-P162</f>
        <v>0</v>
      </c>
    </row>
    <row r="163" spans="1:19" s="119" customFormat="1" ht="27" customHeight="1" x14ac:dyDescent="0.25">
      <c r="A163" s="208" t="s">
        <v>169</v>
      </c>
      <c r="B163" s="158" t="s">
        <v>170</v>
      </c>
      <c r="C163" s="32">
        <v>119</v>
      </c>
      <c r="D163" s="32">
        <v>213</v>
      </c>
      <c r="E163" s="33" t="s">
        <v>160</v>
      </c>
      <c r="F163" s="225"/>
      <c r="G163" s="226"/>
      <c r="H163" s="225"/>
      <c r="I163" s="217"/>
      <c r="J163" s="218">
        <f>H163+I163</f>
        <v>0</v>
      </c>
      <c r="K163" s="218"/>
      <c r="L163" s="219">
        <f>J163+K163</f>
        <v>0</v>
      </c>
      <c r="M163" s="218"/>
      <c r="N163" s="218">
        <f>L163+M163</f>
        <v>0</v>
      </c>
      <c r="O163" s="227"/>
      <c r="P163" s="218"/>
      <c r="Q163" s="221"/>
      <c r="R163" s="218">
        <f>N163-P163</f>
        <v>0</v>
      </c>
    </row>
    <row r="164" spans="1:19" s="119" customFormat="1" ht="21.75" customHeight="1" x14ac:dyDescent="0.25">
      <c r="A164" s="273" t="s">
        <v>161</v>
      </c>
      <c r="B164" s="296"/>
      <c r="C164" s="296"/>
      <c r="D164" s="296"/>
      <c r="E164" s="297"/>
      <c r="F164" s="228"/>
      <c r="G164" s="215"/>
      <c r="H164" s="228"/>
      <c r="I164" s="222">
        <f t="shared" ref="I164:N164" si="62">I162+I163</f>
        <v>0</v>
      </c>
      <c r="J164" s="223">
        <f t="shared" si="62"/>
        <v>0</v>
      </c>
      <c r="K164" s="223">
        <f t="shared" si="62"/>
        <v>0</v>
      </c>
      <c r="L164" s="223">
        <f t="shared" si="62"/>
        <v>0</v>
      </c>
      <c r="M164" s="223">
        <f t="shared" si="62"/>
        <v>0</v>
      </c>
      <c r="N164" s="223">
        <f t="shared" si="62"/>
        <v>0</v>
      </c>
      <c r="O164" s="229"/>
      <c r="P164" s="223">
        <f>P162+P163</f>
        <v>0</v>
      </c>
      <c r="Q164" s="223">
        <f>Q162+Q163</f>
        <v>0</v>
      </c>
      <c r="R164" s="223">
        <f>R162+R163</f>
        <v>0</v>
      </c>
    </row>
    <row r="165" spans="1:19" s="119" customFormat="1" ht="31.5" customHeight="1" x14ac:dyDescent="0.25">
      <c r="A165" s="180"/>
      <c r="B165" s="205"/>
      <c r="C165" s="181"/>
      <c r="D165" s="181"/>
      <c r="E165" s="181"/>
      <c r="F165" s="117"/>
      <c r="G165" s="206"/>
      <c r="H165" s="117"/>
      <c r="I165" s="117"/>
      <c r="J165" s="189"/>
      <c r="K165" s="189"/>
      <c r="L165" s="189"/>
      <c r="M165" s="189"/>
      <c r="N165" s="189"/>
      <c r="O165" s="191"/>
      <c r="P165" s="189"/>
      <c r="Q165" s="189"/>
      <c r="R165" s="207"/>
    </row>
    <row r="166" spans="1:19" s="119" customFormat="1" ht="14.45" customHeight="1" x14ac:dyDescent="0.25">
      <c r="A166" s="283" t="s">
        <v>195</v>
      </c>
      <c r="B166" s="284"/>
      <c r="C166" s="284"/>
      <c r="D166" s="284"/>
      <c r="E166" s="285"/>
      <c r="F166" s="117"/>
      <c r="G166" s="206"/>
      <c r="H166" s="117"/>
      <c r="I166" s="117"/>
      <c r="J166" s="189"/>
      <c r="K166" s="189"/>
      <c r="L166" s="189"/>
      <c r="M166" s="189"/>
      <c r="N166" s="189"/>
      <c r="O166" s="191"/>
      <c r="P166" s="189"/>
      <c r="Q166" s="189"/>
      <c r="R166" s="207"/>
    </row>
    <row r="167" spans="1:19" s="119" customFormat="1" ht="14.45" customHeight="1" x14ac:dyDescent="0.25">
      <c r="A167" s="286"/>
      <c r="B167" s="287"/>
      <c r="C167" s="287"/>
      <c r="D167" s="287"/>
      <c r="E167" s="288"/>
      <c r="F167" s="117"/>
      <c r="G167" s="206"/>
      <c r="H167" s="117"/>
      <c r="I167" s="117"/>
      <c r="J167" s="189"/>
      <c r="K167" s="189"/>
      <c r="L167" s="189"/>
      <c r="M167" s="189"/>
      <c r="N167" s="189"/>
      <c r="O167" s="191"/>
      <c r="P167" s="189"/>
      <c r="Q167" s="189"/>
      <c r="R167" s="207"/>
    </row>
    <row r="168" spans="1:19" s="119" customFormat="1" ht="56.25" customHeight="1" x14ac:dyDescent="0.25">
      <c r="A168" s="208" t="s">
        <v>169</v>
      </c>
      <c r="B168" s="158" t="s">
        <v>196</v>
      </c>
      <c r="C168" s="32">
        <v>244</v>
      </c>
      <c r="D168" s="32">
        <v>225</v>
      </c>
      <c r="E168" s="159" t="s">
        <v>197</v>
      </c>
      <c r="F168" s="160"/>
      <c r="G168" s="160"/>
      <c r="H168" s="160"/>
      <c r="I168" s="160">
        <v>200000</v>
      </c>
      <c r="J168" s="160">
        <f>H168+I168</f>
        <v>200000</v>
      </c>
      <c r="K168" s="160"/>
      <c r="L168" s="161">
        <f>J168+K168</f>
        <v>200000</v>
      </c>
      <c r="M168" s="160"/>
      <c r="N168" s="160">
        <f>L168+M168</f>
        <v>200000</v>
      </c>
      <c r="O168" s="230" t="s">
        <v>198</v>
      </c>
      <c r="P168" s="160">
        <v>200000</v>
      </c>
      <c r="Q168" s="162">
        <v>200000</v>
      </c>
      <c r="R168" s="160">
        <f>L168-P168</f>
        <v>0</v>
      </c>
    </row>
    <row r="169" spans="1:19" s="119" customFormat="1" ht="23.25" customHeight="1" x14ac:dyDescent="0.25">
      <c r="A169" s="273" t="s">
        <v>161</v>
      </c>
      <c r="B169" s="274"/>
      <c r="C169" s="274"/>
      <c r="D169" s="274"/>
      <c r="E169" s="275"/>
      <c r="F169" s="163"/>
      <c r="G169" s="163"/>
      <c r="H169" s="163"/>
      <c r="I169" s="163">
        <f t="shared" ref="I169:N169" si="63">I168</f>
        <v>200000</v>
      </c>
      <c r="J169" s="163">
        <f t="shared" si="63"/>
        <v>200000</v>
      </c>
      <c r="K169" s="163">
        <f t="shared" si="63"/>
        <v>0</v>
      </c>
      <c r="L169" s="163">
        <f t="shared" si="63"/>
        <v>200000</v>
      </c>
      <c r="M169" s="163">
        <f t="shared" si="63"/>
        <v>0</v>
      </c>
      <c r="N169" s="163">
        <f t="shared" si="63"/>
        <v>200000</v>
      </c>
      <c r="O169" s="163"/>
      <c r="P169" s="163">
        <f>P168</f>
        <v>200000</v>
      </c>
      <c r="Q169" s="163">
        <f>Q168</f>
        <v>200000</v>
      </c>
      <c r="R169" s="163">
        <f>R168</f>
        <v>0</v>
      </c>
    </row>
    <row r="170" spans="1:19" s="119" customFormat="1" ht="14.45" customHeight="1" x14ac:dyDescent="0.25">
      <c r="A170" s="180"/>
      <c r="B170" s="205"/>
      <c r="C170" s="181"/>
      <c r="D170" s="181"/>
      <c r="E170" s="181"/>
      <c r="F170" s="117"/>
      <c r="G170" s="206"/>
      <c r="H170" s="117"/>
      <c r="I170" s="117"/>
      <c r="J170" s="117"/>
      <c r="K170" s="117"/>
      <c r="L170" s="117"/>
      <c r="M170" s="117"/>
      <c r="N170" s="117"/>
      <c r="O170" s="191"/>
      <c r="P170" s="117"/>
      <c r="Q170" s="117"/>
      <c r="R170" s="231"/>
    </row>
    <row r="171" spans="1:19" s="119" customFormat="1" ht="14.45" customHeight="1" x14ac:dyDescent="0.25">
      <c r="A171" s="180"/>
      <c r="B171" s="205"/>
      <c r="C171" s="181"/>
      <c r="D171" s="181"/>
      <c r="E171" s="181"/>
      <c r="F171" s="117"/>
      <c r="G171" s="206"/>
      <c r="H171" s="117"/>
      <c r="I171" s="117"/>
      <c r="J171" s="117"/>
      <c r="K171" s="117"/>
      <c r="L171" s="117"/>
      <c r="M171" s="117"/>
      <c r="N171" s="232"/>
      <c r="O171" s="191"/>
      <c r="P171" s="117"/>
      <c r="Q171" s="117"/>
      <c r="R171" s="231"/>
    </row>
    <row r="172" spans="1:19" s="119" customFormat="1" ht="14.45" customHeight="1" x14ac:dyDescent="0.25">
      <c r="A172" s="180"/>
      <c r="B172" s="205"/>
      <c r="C172" s="181"/>
      <c r="D172" s="181"/>
      <c r="E172" s="181"/>
      <c r="F172" s="117"/>
      <c r="G172" s="206"/>
      <c r="H172" s="117"/>
      <c r="I172" s="117"/>
      <c r="J172" s="117"/>
      <c r="K172" s="117"/>
      <c r="L172" s="117"/>
      <c r="M172" s="117"/>
      <c r="N172" s="117"/>
      <c r="O172" s="191"/>
      <c r="P172" s="117"/>
      <c r="Q172" s="117"/>
      <c r="R172" s="231"/>
    </row>
    <row r="173" spans="1:19" s="73" customFormat="1" ht="30" customHeight="1" x14ac:dyDescent="0.25">
      <c r="A173" s="279" t="s">
        <v>199</v>
      </c>
      <c r="B173" s="279"/>
      <c r="C173" s="279"/>
      <c r="D173" s="279"/>
      <c r="E173" s="279"/>
      <c r="L173" s="93"/>
      <c r="M173" s="93"/>
      <c r="N173" s="93"/>
      <c r="O173" s="153"/>
    </row>
    <row r="174" spans="1:19" s="119" customFormat="1" ht="21.75" customHeight="1" x14ac:dyDescent="0.25">
      <c r="A174" s="157" t="s">
        <v>200</v>
      </c>
      <c r="B174" s="158"/>
      <c r="C174" s="32">
        <v>852</v>
      </c>
      <c r="D174" s="32">
        <v>291</v>
      </c>
      <c r="E174" s="159" t="s">
        <v>201</v>
      </c>
      <c r="F174" s="160"/>
      <c r="G174" s="160">
        <v>1390.4</v>
      </c>
      <c r="H174" s="160">
        <f>F174+G174</f>
        <v>1390.4</v>
      </c>
      <c r="I174" s="160"/>
      <c r="J174" s="233">
        <f>H174+I174</f>
        <v>1390.4</v>
      </c>
      <c r="K174" s="160"/>
      <c r="L174" s="234">
        <f>J174+K174</f>
        <v>1390.4</v>
      </c>
      <c r="M174" s="160"/>
      <c r="N174" s="233">
        <f>L174+M174</f>
        <v>1390.4</v>
      </c>
      <c r="O174" s="235"/>
      <c r="P174" s="160"/>
      <c r="Q174" s="162"/>
      <c r="R174" s="160">
        <f>N174-P174</f>
        <v>1390.4</v>
      </c>
      <c r="S174" s="118"/>
    </row>
    <row r="175" spans="1:19" s="119" customFormat="1" ht="36" customHeight="1" x14ac:dyDescent="0.25">
      <c r="A175" s="157" t="s">
        <v>200</v>
      </c>
      <c r="B175" s="158"/>
      <c r="C175" s="32">
        <v>244</v>
      </c>
      <c r="D175" s="32">
        <v>226</v>
      </c>
      <c r="E175" s="159" t="s">
        <v>202</v>
      </c>
      <c r="F175" s="160"/>
      <c r="G175" s="160">
        <v>137649.60000000001</v>
      </c>
      <c r="H175" s="160">
        <f t="shared" ref="H175:H185" si="64">F175+G175</f>
        <v>137649.60000000001</v>
      </c>
      <c r="I175" s="160"/>
      <c r="J175" s="233">
        <f>H175+I175</f>
        <v>137649.60000000001</v>
      </c>
      <c r="K175" s="160"/>
      <c r="L175" s="234">
        <f>J175+K175</f>
        <v>137649.60000000001</v>
      </c>
      <c r="M175" s="160"/>
      <c r="N175" s="233">
        <f>L175+M175</f>
        <v>137649.60000000001</v>
      </c>
      <c r="O175" s="112" t="s">
        <v>203</v>
      </c>
      <c r="P175" s="160">
        <f>117612+10018.8+10018.8</f>
        <v>137649.60000000001</v>
      </c>
      <c r="Q175" s="162">
        <f>10018.8+58806+58806+10018.8</f>
        <v>137649.60000000001</v>
      </c>
      <c r="R175" s="160">
        <f>N175-P175</f>
        <v>0</v>
      </c>
      <c r="S175" s="118">
        <f>P175-Q175</f>
        <v>0</v>
      </c>
    </row>
    <row r="176" spans="1:19" s="119" customFormat="1" ht="40.5" customHeight="1" x14ac:dyDescent="0.25">
      <c r="A176" s="123" t="s">
        <v>204</v>
      </c>
      <c r="B176" s="75" t="s">
        <v>205</v>
      </c>
      <c r="C176" s="13">
        <v>244</v>
      </c>
      <c r="D176" s="13">
        <v>226</v>
      </c>
      <c r="E176" s="14" t="s">
        <v>206</v>
      </c>
      <c r="F176" s="236"/>
      <c r="G176" s="236">
        <v>50201</v>
      </c>
      <c r="H176" s="236">
        <f t="shared" si="64"/>
        <v>50201</v>
      </c>
      <c r="I176" s="236"/>
      <c r="J176" s="236">
        <f>H176+I176</f>
        <v>50201</v>
      </c>
      <c r="K176" s="236"/>
      <c r="L176" s="237">
        <f>J176+K176</f>
        <v>50201</v>
      </c>
      <c r="M176" s="236"/>
      <c r="N176" s="236">
        <f>L176+M176</f>
        <v>50201</v>
      </c>
      <c r="O176" s="19" t="s">
        <v>203</v>
      </c>
      <c r="P176" s="236">
        <f>43070+3565.5+3565.5</f>
        <v>50201</v>
      </c>
      <c r="Q176" s="238">
        <f>3565.5+21535+21535+3565.5</f>
        <v>50201</v>
      </c>
      <c r="R176" s="160">
        <f t="shared" ref="R176:R181" si="65">N176-P176</f>
        <v>0</v>
      </c>
      <c r="S176" s="118"/>
    </row>
    <row r="177" spans="1:19" s="119" customFormat="1" ht="21" customHeight="1" x14ac:dyDescent="0.25">
      <c r="A177" s="239" t="s">
        <v>207</v>
      </c>
      <c r="B177" s="158" t="s">
        <v>208</v>
      </c>
      <c r="C177" s="32">
        <v>111</v>
      </c>
      <c r="D177" s="32">
        <v>211</v>
      </c>
      <c r="E177" s="159" t="s">
        <v>209</v>
      </c>
      <c r="F177" s="160"/>
      <c r="G177" s="160">
        <v>22648.46</v>
      </c>
      <c r="H177" s="160">
        <f t="shared" si="64"/>
        <v>22648.46</v>
      </c>
      <c r="I177" s="160"/>
      <c r="J177" s="233">
        <f t="shared" ref="J177:J185" si="66">H177+I177</f>
        <v>22648.46</v>
      </c>
      <c r="K177" s="160"/>
      <c r="L177" s="234">
        <f t="shared" ref="L177:L185" si="67">J177+K177</f>
        <v>22648.46</v>
      </c>
      <c r="M177" s="160"/>
      <c r="N177" s="233">
        <f t="shared" ref="N177:N185" si="68">L177+M177</f>
        <v>22648.46</v>
      </c>
      <c r="O177" s="235"/>
      <c r="P177" s="236"/>
      <c r="Q177" s="162">
        <v>22648.45</v>
      </c>
      <c r="R177" s="160">
        <f>N177-Q177</f>
        <v>9.9999999983992893E-3</v>
      </c>
    </row>
    <row r="178" spans="1:19" s="119" customFormat="1" ht="23.25" customHeight="1" x14ac:dyDescent="0.25">
      <c r="A178" s="239" t="s">
        <v>207</v>
      </c>
      <c r="B178" s="158" t="s">
        <v>208</v>
      </c>
      <c r="C178" s="32">
        <v>119</v>
      </c>
      <c r="D178" s="32">
        <v>213</v>
      </c>
      <c r="E178" s="159" t="s">
        <v>210</v>
      </c>
      <c r="F178" s="160"/>
      <c r="G178" s="160">
        <v>6839.84</v>
      </c>
      <c r="H178" s="160">
        <f t="shared" si="64"/>
        <v>6839.84</v>
      </c>
      <c r="I178" s="160"/>
      <c r="J178" s="233">
        <f t="shared" si="66"/>
        <v>6839.84</v>
      </c>
      <c r="K178" s="160"/>
      <c r="L178" s="234">
        <f t="shared" si="67"/>
        <v>6839.84</v>
      </c>
      <c r="M178" s="160"/>
      <c r="N178" s="233">
        <f t="shared" si="68"/>
        <v>6839.84</v>
      </c>
      <c r="O178" s="235"/>
      <c r="P178" s="236"/>
      <c r="Q178" s="162">
        <v>6839.81</v>
      </c>
      <c r="R178" s="160">
        <f>N178-Q178</f>
        <v>2.9999999999745341E-2</v>
      </c>
      <c r="S178" s="118"/>
    </row>
    <row r="179" spans="1:19" s="119" customFormat="1" ht="38.25" customHeight="1" x14ac:dyDescent="0.25">
      <c r="A179" s="239" t="s">
        <v>207</v>
      </c>
      <c r="B179" s="158" t="s">
        <v>208</v>
      </c>
      <c r="C179" s="32">
        <v>244</v>
      </c>
      <c r="D179" s="32">
        <v>226</v>
      </c>
      <c r="E179" s="159" t="s">
        <v>202</v>
      </c>
      <c r="F179" s="160"/>
      <c r="G179" s="160">
        <v>343869.4</v>
      </c>
      <c r="H179" s="160">
        <f t="shared" si="64"/>
        <v>343869.4</v>
      </c>
      <c r="I179" s="160"/>
      <c r="J179" s="233">
        <f t="shared" si="66"/>
        <v>343869.4</v>
      </c>
      <c r="K179" s="160"/>
      <c r="L179" s="234">
        <f t="shared" si="67"/>
        <v>343869.4</v>
      </c>
      <c r="M179" s="160"/>
      <c r="N179" s="233">
        <f t="shared" si="68"/>
        <v>343869.4</v>
      </c>
      <c r="O179" s="112" t="s">
        <v>203</v>
      </c>
      <c r="P179" s="160">
        <f>295078+24395.7+24395.7</f>
        <v>343869.4</v>
      </c>
      <c r="Q179" s="162">
        <f>24395.7+147539+147539+24395.7</f>
        <v>343869.4</v>
      </c>
      <c r="R179" s="160">
        <f t="shared" si="65"/>
        <v>0</v>
      </c>
    </row>
    <row r="180" spans="1:19" s="119" customFormat="1" ht="39.75" customHeight="1" x14ac:dyDescent="0.25">
      <c r="A180" s="239" t="s">
        <v>207</v>
      </c>
      <c r="B180" s="158" t="s">
        <v>208</v>
      </c>
      <c r="C180" s="32">
        <v>244</v>
      </c>
      <c r="D180" s="32">
        <v>226</v>
      </c>
      <c r="E180" s="159" t="s">
        <v>211</v>
      </c>
      <c r="F180" s="160"/>
      <c r="G180" s="160">
        <v>39347.800000000003</v>
      </c>
      <c r="H180" s="160">
        <f t="shared" si="64"/>
        <v>39347.800000000003</v>
      </c>
      <c r="I180" s="160"/>
      <c r="J180" s="233">
        <f t="shared" si="66"/>
        <v>39347.800000000003</v>
      </c>
      <c r="K180" s="233">
        <v>-15551.92</v>
      </c>
      <c r="L180" s="234">
        <f t="shared" si="67"/>
        <v>23795.880000000005</v>
      </c>
      <c r="M180" s="160"/>
      <c r="N180" s="233">
        <f t="shared" si="68"/>
        <v>23795.880000000005</v>
      </c>
      <c r="O180" s="95" t="s">
        <v>212</v>
      </c>
      <c r="P180" s="160">
        <f>4500+6000+6000+4500</f>
        <v>21000</v>
      </c>
      <c r="Q180" s="162">
        <f>4500+6000+6000+4500</f>
        <v>21000</v>
      </c>
      <c r="R180" s="160">
        <f t="shared" si="65"/>
        <v>2795.8800000000047</v>
      </c>
      <c r="S180" s="118"/>
    </row>
    <row r="181" spans="1:19" s="119" customFormat="1" ht="33.75" customHeight="1" x14ac:dyDescent="0.25">
      <c r="A181" s="239" t="s">
        <v>207</v>
      </c>
      <c r="B181" s="158" t="s">
        <v>208</v>
      </c>
      <c r="C181" s="32">
        <v>244</v>
      </c>
      <c r="D181" s="32">
        <v>341</v>
      </c>
      <c r="E181" s="159" t="s">
        <v>213</v>
      </c>
      <c r="F181" s="160"/>
      <c r="G181" s="160">
        <v>19872</v>
      </c>
      <c r="H181" s="160">
        <f t="shared" si="64"/>
        <v>19872</v>
      </c>
      <c r="I181" s="160"/>
      <c r="J181" s="233">
        <f t="shared" si="66"/>
        <v>19872</v>
      </c>
      <c r="K181" s="233"/>
      <c r="L181" s="234">
        <f t="shared" si="67"/>
        <v>19872</v>
      </c>
      <c r="M181" s="160"/>
      <c r="N181" s="233">
        <f t="shared" si="68"/>
        <v>19872</v>
      </c>
      <c r="O181" s="112" t="s">
        <v>214</v>
      </c>
      <c r="P181" s="160">
        <f>9936+8516</f>
        <v>18452</v>
      </c>
      <c r="Q181" s="162">
        <f>9936+8516</f>
        <v>18452</v>
      </c>
      <c r="R181" s="160">
        <f t="shared" si="65"/>
        <v>1420</v>
      </c>
    </row>
    <row r="182" spans="1:19" s="119" customFormat="1" ht="38.25" customHeight="1" x14ac:dyDescent="0.25">
      <c r="A182" s="239" t="s">
        <v>207</v>
      </c>
      <c r="B182" s="169" t="s">
        <v>208</v>
      </c>
      <c r="C182" s="102">
        <v>244</v>
      </c>
      <c r="D182" s="102">
        <v>346</v>
      </c>
      <c r="E182" s="240" t="s">
        <v>215</v>
      </c>
      <c r="F182" s="170"/>
      <c r="G182" s="170"/>
      <c r="H182" s="160">
        <f t="shared" si="64"/>
        <v>0</v>
      </c>
      <c r="I182" s="170"/>
      <c r="J182" s="233">
        <f t="shared" si="66"/>
        <v>0</v>
      </c>
      <c r="K182" s="289">
        <v>15551.92</v>
      </c>
      <c r="L182" s="291">
        <f t="shared" si="67"/>
        <v>15551.92</v>
      </c>
      <c r="M182" s="170"/>
      <c r="N182" s="233">
        <f t="shared" si="68"/>
        <v>15551.92</v>
      </c>
      <c r="O182" s="293" t="s">
        <v>216</v>
      </c>
      <c r="P182" s="276">
        <v>15551.92</v>
      </c>
      <c r="Q182" s="173">
        <v>6873</v>
      </c>
      <c r="R182" s="276">
        <f>L182-Q182-Q183</f>
        <v>0</v>
      </c>
    </row>
    <row r="183" spans="1:19" s="119" customFormat="1" ht="38.25" customHeight="1" x14ac:dyDescent="0.25">
      <c r="A183" s="241" t="s">
        <v>207</v>
      </c>
      <c r="B183" s="169" t="s">
        <v>208</v>
      </c>
      <c r="C183" s="102">
        <v>244</v>
      </c>
      <c r="D183" s="102">
        <v>346</v>
      </c>
      <c r="E183" s="240" t="s">
        <v>217</v>
      </c>
      <c r="F183" s="170"/>
      <c r="G183" s="170"/>
      <c r="H183" s="160"/>
      <c r="I183" s="170"/>
      <c r="J183" s="233"/>
      <c r="K183" s="290"/>
      <c r="L183" s="292"/>
      <c r="M183" s="170"/>
      <c r="N183" s="233">
        <f t="shared" si="68"/>
        <v>0</v>
      </c>
      <c r="O183" s="294"/>
      <c r="P183" s="277"/>
      <c r="Q183" s="173">
        <v>8678.92</v>
      </c>
      <c r="R183" s="277"/>
    </row>
    <row r="184" spans="1:19" s="119" customFormat="1" ht="38.25" customHeight="1" x14ac:dyDescent="0.25">
      <c r="A184" s="241" t="s">
        <v>207</v>
      </c>
      <c r="B184" s="169" t="s">
        <v>208</v>
      </c>
      <c r="C184" s="102">
        <v>244</v>
      </c>
      <c r="D184" s="102">
        <v>346</v>
      </c>
      <c r="E184" s="240" t="s">
        <v>218</v>
      </c>
      <c r="F184" s="170"/>
      <c r="G184" s="170"/>
      <c r="H184" s="160"/>
      <c r="I184" s="170"/>
      <c r="J184" s="233"/>
      <c r="K184" s="242">
        <v>2381.25</v>
      </c>
      <c r="L184" s="234">
        <f t="shared" si="67"/>
        <v>2381.25</v>
      </c>
      <c r="M184" s="170"/>
      <c r="N184" s="233">
        <f t="shared" si="68"/>
        <v>2381.25</v>
      </c>
      <c r="O184" s="172" t="s">
        <v>219</v>
      </c>
      <c r="P184" s="170">
        <v>2381.25</v>
      </c>
      <c r="Q184" s="173">
        <v>2381.25</v>
      </c>
      <c r="R184" s="160">
        <f t="shared" ref="R184" si="69">L184-Q184</f>
        <v>0</v>
      </c>
    </row>
    <row r="185" spans="1:19" s="119" customFormat="1" ht="34.5" customHeight="1" x14ac:dyDescent="0.25">
      <c r="A185" s="241" t="s">
        <v>207</v>
      </c>
      <c r="B185" s="169" t="s">
        <v>208</v>
      </c>
      <c r="C185" s="102">
        <v>244</v>
      </c>
      <c r="D185" s="102">
        <v>346</v>
      </c>
      <c r="E185" s="240" t="s">
        <v>220</v>
      </c>
      <c r="F185" s="170"/>
      <c r="G185" s="170">
        <v>19231.5</v>
      </c>
      <c r="H185" s="160">
        <f t="shared" si="64"/>
        <v>19231.5</v>
      </c>
      <c r="I185" s="170"/>
      <c r="J185" s="233">
        <f t="shared" si="66"/>
        <v>19231.5</v>
      </c>
      <c r="K185" s="242">
        <v>-2381.25</v>
      </c>
      <c r="L185" s="234">
        <f t="shared" si="67"/>
        <v>16850.25</v>
      </c>
      <c r="M185" s="170"/>
      <c r="N185" s="233">
        <f t="shared" si="68"/>
        <v>16850.25</v>
      </c>
      <c r="O185" s="172" t="s">
        <v>219</v>
      </c>
      <c r="P185" s="170">
        <v>15477</v>
      </c>
      <c r="Q185" s="173">
        <v>15477</v>
      </c>
      <c r="R185" s="160">
        <f>N185-P185</f>
        <v>1373.25</v>
      </c>
    </row>
    <row r="186" spans="1:19" s="119" customFormat="1" ht="23.25" customHeight="1" x14ac:dyDescent="0.25">
      <c r="A186" s="278" t="s">
        <v>161</v>
      </c>
      <c r="B186" s="278"/>
      <c r="C186" s="278"/>
      <c r="D186" s="278"/>
      <c r="E186" s="278"/>
      <c r="F186" s="163">
        <f t="shared" ref="F186:N186" si="70">SUM(F174:F185)</f>
        <v>0</v>
      </c>
      <c r="G186" s="163">
        <f t="shared" si="70"/>
        <v>641050</v>
      </c>
      <c r="H186" s="163">
        <f t="shared" si="70"/>
        <v>641050</v>
      </c>
      <c r="I186" s="163">
        <f t="shared" si="70"/>
        <v>0</v>
      </c>
      <c r="J186" s="163">
        <f t="shared" si="70"/>
        <v>641050</v>
      </c>
      <c r="K186" s="163">
        <f t="shared" si="70"/>
        <v>0</v>
      </c>
      <c r="L186" s="163">
        <f t="shared" si="70"/>
        <v>641050</v>
      </c>
      <c r="M186" s="163">
        <f t="shared" si="70"/>
        <v>0</v>
      </c>
      <c r="N186" s="163">
        <f t="shared" si="70"/>
        <v>641050</v>
      </c>
      <c r="O186" s="179"/>
      <c r="P186" s="163">
        <f>SUM(P174:P185)</f>
        <v>604582.17000000004</v>
      </c>
      <c r="Q186" s="163">
        <f>SUM(Q174:Q185)</f>
        <v>634070.43000000005</v>
      </c>
      <c r="R186" s="163">
        <f>SUM(R174:R185)</f>
        <v>6979.5700000000033</v>
      </c>
    </row>
    <row r="187" spans="1:19" s="119" customFormat="1" ht="14.45" customHeight="1" x14ac:dyDescent="0.25">
      <c r="A187" s="243"/>
      <c r="B187" s="205"/>
      <c r="C187" s="181"/>
      <c r="D187" s="181"/>
      <c r="E187" s="181"/>
      <c r="F187" s="244"/>
      <c r="G187" s="244"/>
      <c r="H187" s="244"/>
      <c r="I187" s="244"/>
      <c r="J187" s="244"/>
      <c r="K187" s="244"/>
      <c r="L187" s="244"/>
      <c r="M187" s="244"/>
      <c r="N187" s="244"/>
      <c r="O187" s="191"/>
      <c r="P187" s="244"/>
      <c r="Q187" s="244"/>
      <c r="R187" s="244"/>
    </row>
    <row r="188" spans="1:19" s="119" customFormat="1" ht="14.45" customHeight="1" x14ac:dyDescent="0.25">
      <c r="A188" s="243"/>
      <c r="B188" s="205"/>
      <c r="C188" s="181"/>
      <c r="D188" s="181"/>
      <c r="E188" s="181"/>
      <c r="F188" s="117"/>
      <c r="G188" s="117"/>
      <c r="H188" s="117"/>
      <c r="I188" s="117"/>
      <c r="J188" s="245"/>
      <c r="K188" s="117"/>
      <c r="L188" s="245"/>
      <c r="M188" s="245"/>
      <c r="N188" s="245"/>
      <c r="O188" s="191"/>
      <c r="P188" s="117"/>
      <c r="Q188" s="117"/>
      <c r="R188" s="117"/>
    </row>
    <row r="189" spans="1:19" s="119" customFormat="1" ht="30.75" customHeight="1" x14ac:dyDescent="0.25">
      <c r="A189" s="279" t="s">
        <v>221</v>
      </c>
      <c r="B189" s="279"/>
      <c r="C189" s="181"/>
      <c r="D189" s="181"/>
      <c r="E189" s="181"/>
      <c r="F189" s="117"/>
      <c r="G189" s="117"/>
      <c r="H189" s="117"/>
      <c r="I189" s="117"/>
      <c r="J189" s="117"/>
      <c r="K189" s="117"/>
      <c r="L189" s="245"/>
      <c r="M189" s="245"/>
      <c r="N189" s="245"/>
      <c r="O189" s="191"/>
      <c r="P189" s="117"/>
      <c r="Q189" s="117"/>
      <c r="R189" s="117"/>
    </row>
    <row r="190" spans="1:19" s="119" customFormat="1" ht="35.25" customHeight="1" x14ac:dyDescent="0.25">
      <c r="A190" s="192" t="s">
        <v>222</v>
      </c>
      <c r="B190" s="158" t="s">
        <v>208</v>
      </c>
      <c r="C190" s="32">
        <v>244</v>
      </c>
      <c r="D190" s="32">
        <v>226</v>
      </c>
      <c r="E190" s="33" t="s">
        <v>223</v>
      </c>
      <c r="F190" s="217"/>
      <c r="G190" s="217"/>
      <c r="H190" s="217">
        <f>G190+F190</f>
        <v>0</v>
      </c>
      <c r="I190" s="217">
        <v>787700</v>
      </c>
      <c r="J190" s="217">
        <f>I190+H190</f>
        <v>787700</v>
      </c>
      <c r="K190" s="217"/>
      <c r="L190" s="246">
        <f>K190+J190</f>
        <v>787700</v>
      </c>
      <c r="M190" s="217"/>
      <c r="N190" s="217">
        <f>M190+L190</f>
        <v>787700</v>
      </c>
      <c r="O190" s="247" t="s">
        <v>224</v>
      </c>
      <c r="P190" s="217">
        <f>199700+588000</f>
        <v>787700</v>
      </c>
      <c r="Q190" s="248">
        <f>199700+588000</f>
        <v>787700</v>
      </c>
      <c r="R190" s="217">
        <f>N190-Q190</f>
        <v>0</v>
      </c>
    </row>
    <row r="191" spans="1:19" s="252" customFormat="1" ht="19.5" hidden="1" customHeight="1" x14ac:dyDescent="0.25">
      <c r="A191" s="197" t="s">
        <v>207</v>
      </c>
      <c r="B191" s="158" t="s">
        <v>208</v>
      </c>
      <c r="C191" s="249">
        <v>244</v>
      </c>
      <c r="D191" s="249">
        <v>226</v>
      </c>
      <c r="E191" s="249" t="s">
        <v>225</v>
      </c>
      <c r="F191" s="200"/>
      <c r="G191" s="200"/>
      <c r="H191" s="200">
        <f>G191+F191</f>
        <v>0</v>
      </c>
      <c r="I191" s="200"/>
      <c r="J191" s="200">
        <f>I191+H191</f>
        <v>0</v>
      </c>
      <c r="K191" s="200"/>
      <c r="L191" s="200">
        <f>K191+J191</f>
        <v>0</v>
      </c>
      <c r="M191" s="200"/>
      <c r="N191" s="200">
        <f>M191+L191</f>
        <v>0</v>
      </c>
      <c r="O191" s="250"/>
      <c r="P191" s="200"/>
      <c r="Q191" s="251"/>
      <c r="R191" s="200">
        <f>N191-Q191</f>
        <v>0</v>
      </c>
    </row>
    <row r="192" spans="1:19" s="119" customFormat="1" ht="19.5" customHeight="1" x14ac:dyDescent="0.25">
      <c r="A192" s="273" t="s">
        <v>161</v>
      </c>
      <c r="B192" s="274"/>
      <c r="C192" s="274"/>
      <c r="D192" s="274"/>
      <c r="E192" s="275"/>
      <c r="F192" s="253">
        <f t="shared" ref="F192:N192" si="71">F190+F191</f>
        <v>0</v>
      </c>
      <c r="G192" s="253">
        <f t="shared" si="71"/>
        <v>0</v>
      </c>
      <c r="H192" s="253">
        <f t="shared" si="71"/>
        <v>0</v>
      </c>
      <c r="I192" s="253">
        <f t="shared" si="71"/>
        <v>787700</v>
      </c>
      <c r="J192" s="253">
        <f t="shared" si="71"/>
        <v>787700</v>
      </c>
      <c r="K192" s="253">
        <f t="shared" si="71"/>
        <v>0</v>
      </c>
      <c r="L192" s="253">
        <f t="shared" si="71"/>
        <v>787700</v>
      </c>
      <c r="M192" s="253">
        <f t="shared" si="71"/>
        <v>0</v>
      </c>
      <c r="N192" s="253">
        <f t="shared" si="71"/>
        <v>787700</v>
      </c>
      <c r="O192" s="254"/>
      <c r="P192" s="253">
        <f>P190+P191</f>
        <v>787700</v>
      </c>
      <c r="Q192" s="253">
        <f>Q190+Q191</f>
        <v>787700</v>
      </c>
      <c r="R192" s="253">
        <f>R190+R191</f>
        <v>0</v>
      </c>
    </row>
    <row r="193" spans="1:19" s="73" customFormat="1" ht="14.45" customHeight="1" x14ac:dyDescent="0.25">
      <c r="A193" s="150"/>
      <c r="B193" s="151"/>
      <c r="C193" s="152"/>
      <c r="D193" s="152"/>
      <c r="E193" s="152"/>
      <c r="L193" s="93"/>
      <c r="M193" s="93"/>
      <c r="N193" s="93"/>
      <c r="O193" s="153"/>
    </row>
    <row r="194" spans="1:19" s="119" customFormat="1" ht="14.45" customHeight="1" x14ac:dyDescent="0.25">
      <c r="A194" s="180"/>
      <c r="B194" s="205"/>
      <c r="C194" s="181"/>
      <c r="D194" s="181"/>
      <c r="E194" s="181"/>
      <c r="F194" s="117"/>
      <c r="G194" s="117"/>
      <c r="H194" s="117"/>
      <c r="I194" s="117"/>
      <c r="J194" s="245"/>
      <c r="K194" s="117"/>
      <c r="L194" s="117"/>
      <c r="M194" s="117"/>
      <c r="N194" s="255">
        <f>N114+N122+N127+N132+N137+N146+N152+N169+N186+N192-N174-N175</f>
        <v>13797680.82</v>
      </c>
      <c r="O194" s="191"/>
      <c r="P194" s="117"/>
      <c r="Q194" s="117"/>
      <c r="R194" s="231"/>
    </row>
    <row r="195" spans="1:19" s="73" customFormat="1" ht="39.75" customHeight="1" x14ac:dyDescent="0.25">
      <c r="A195" s="280" t="s">
        <v>226</v>
      </c>
      <c r="B195" s="281"/>
      <c r="C195" s="281"/>
      <c r="D195" s="281"/>
      <c r="E195" s="282"/>
      <c r="H195" s="114"/>
      <c r="I195" s="114"/>
      <c r="J195" s="114"/>
      <c r="K195" s="114"/>
      <c r="L195" s="114"/>
      <c r="M195" s="256"/>
      <c r="O195" s="153"/>
    </row>
    <row r="196" spans="1:19" s="10" customFormat="1" ht="36.75" customHeight="1" x14ac:dyDescent="0.25">
      <c r="A196" s="157" t="s">
        <v>227</v>
      </c>
      <c r="B196" s="158"/>
      <c r="C196" s="109">
        <v>244</v>
      </c>
      <c r="D196" s="109">
        <v>223</v>
      </c>
      <c r="E196" s="257" t="s">
        <v>228</v>
      </c>
      <c r="F196" s="258"/>
      <c r="G196" s="258">
        <v>1350</v>
      </c>
      <c r="H196" s="160">
        <f>F196+G196</f>
        <v>1350</v>
      </c>
      <c r="I196" s="160"/>
      <c r="J196" s="160">
        <f t="shared" ref="J196:J209" si="72">H196+I196</f>
        <v>1350</v>
      </c>
      <c r="K196" s="160"/>
      <c r="L196" s="160">
        <f t="shared" ref="L196:L209" si="73">J196+K196</f>
        <v>1350</v>
      </c>
      <c r="M196" s="160"/>
      <c r="N196" s="160">
        <f t="shared" ref="N196:N209" si="74">L196+M196</f>
        <v>1350</v>
      </c>
      <c r="O196" s="259" t="s">
        <v>229</v>
      </c>
      <c r="P196" s="161"/>
      <c r="Q196" s="162">
        <v>1350</v>
      </c>
      <c r="R196" s="161">
        <f>N196-Q196</f>
        <v>0</v>
      </c>
    </row>
    <row r="197" spans="1:19" s="73" customFormat="1" ht="32.25" customHeight="1" x14ac:dyDescent="0.25">
      <c r="A197" s="157" t="s">
        <v>227</v>
      </c>
      <c r="B197" s="158"/>
      <c r="C197" s="109">
        <v>112</v>
      </c>
      <c r="D197" s="109">
        <v>226</v>
      </c>
      <c r="E197" s="225" t="s">
        <v>230</v>
      </c>
      <c r="F197" s="258"/>
      <c r="G197" s="260">
        <v>2800</v>
      </c>
      <c r="H197" s="160">
        <f>F197+G197</f>
        <v>2800</v>
      </c>
      <c r="I197" s="161"/>
      <c r="J197" s="160">
        <f t="shared" si="72"/>
        <v>2800</v>
      </c>
      <c r="K197" s="160"/>
      <c r="L197" s="160">
        <f t="shared" si="73"/>
        <v>2800</v>
      </c>
      <c r="M197" s="160"/>
      <c r="N197" s="160">
        <f t="shared" si="74"/>
        <v>2800</v>
      </c>
      <c r="O197" s="259" t="s">
        <v>27</v>
      </c>
      <c r="P197" s="161"/>
      <c r="Q197" s="162">
        <v>2800</v>
      </c>
      <c r="R197" s="161">
        <f t="shared" ref="R197:R209" si="75">N197-Q197</f>
        <v>0</v>
      </c>
    </row>
    <row r="198" spans="1:19" s="10" customFormat="1" ht="32.25" customHeight="1" x14ac:dyDescent="0.25">
      <c r="A198" s="157" t="s">
        <v>227</v>
      </c>
      <c r="B198" s="158"/>
      <c r="C198" s="32">
        <v>244</v>
      </c>
      <c r="D198" s="32">
        <v>221</v>
      </c>
      <c r="E198" s="257" t="s">
        <v>231</v>
      </c>
      <c r="F198" s="258"/>
      <c r="G198" s="258">
        <f>1520+1520</f>
        <v>3040</v>
      </c>
      <c r="H198" s="160">
        <f>F198+G198</f>
        <v>3040</v>
      </c>
      <c r="I198" s="160">
        <v>1520</v>
      </c>
      <c r="J198" s="160">
        <f t="shared" si="72"/>
        <v>4560</v>
      </c>
      <c r="K198" s="160"/>
      <c r="L198" s="160">
        <f t="shared" si="73"/>
        <v>4560</v>
      </c>
      <c r="M198" s="160"/>
      <c r="N198" s="160">
        <f t="shared" si="74"/>
        <v>4560</v>
      </c>
      <c r="O198" s="259" t="s">
        <v>232</v>
      </c>
      <c r="P198" s="161">
        <v>18240</v>
      </c>
      <c r="Q198" s="162">
        <f>1520+1520+1520</f>
        <v>4560</v>
      </c>
      <c r="R198" s="161">
        <f t="shared" si="75"/>
        <v>0</v>
      </c>
    </row>
    <row r="199" spans="1:19" x14ac:dyDescent="0.3">
      <c r="A199" s="157" t="s">
        <v>227</v>
      </c>
      <c r="B199" s="261"/>
      <c r="C199" s="32">
        <v>244</v>
      </c>
      <c r="D199" s="32">
        <v>226</v>
      </c>
      <c r="E199" s="262" t="s">
        <v>233</v>
      </c>
      <c r="F199" s="258"/>
      <c r="G199" s="258"/>
      <c r="H199" s="160"/>
      <c r="I199" s="160">
        <f>54339.94+30711.67+21000.47</f>
        <v>106052.08</v>
      </c>
      <c r="J199" s="160">
        <f t="shared" si="72"/>
        <v>106052.08</v>
      </c>
      <c r="K199" s="160"/>
      <c r="L199" s="160">
        <f t="shared" si="73"/>
        <v>106052.08</v>
      </c>
      <c r="M199" s="160">
        <f>21850.2+35810.05</f>
        <v>57660.25</v>
      </c>
      <c r="N199" s="160">
        <f t="shared" si="74"/>
        <v>163712.33000000002</v>
      </c>
      <c r="O199" s="235"/>
      <c r="P199" s="160"/>
      <c r="Q199" s="162">
        <f>32775.3+21564.64+30711.67+21000.47+21850.2+35810.05</f>
        <v>163712.33000000002</v>
      </c>
      <c r="R199" s="161">
        <f t="shared" si="75"/>
        <v>0</v>
      </c>
    </row>
    <row r="200" spans="1:19" x14ac:dyDescent="0.3">
      <c r="A200" s="157" t="s">
        <v>227</v>
      </c>
      <c r="B200" s="261"/>
      <c r="C200" s="32">
        <v>112</v>
      </c>
      <c r="D200" s="32">
        <v>226</v>
      </c>
      <c r="E200" s="262" t="s">
        <v>234</v>
      </c>
      <c r="F200" s="258"/>
      <c r="G200" s="258"/>
      <c r="H200" s="160"/>
      <c r="I200" s="160">
        <v>2800</v>
      </c>
      <c r="J200" s="160">
        <f t="shared" si="72"/>
        <v>2800</v>
      </c>
      <c r="K200" s="160"/>
      <c r="L200" s="160">
        <f t="shared" si="73"/>
        <v>2800</v>
      </c>
      <c r="M200" s="160">
        <v>2274</v>
      </c>
      <c r="N200" s="160">
        <f t="shared" si="74"/>
        <v>5074</v>
      </c>
      <c r="O200" s="112" t="s">
        <v>27</v>
      </c>
      <c r="P200" s="160"/>
      <c r="Q200" s="162">
        <f>2800+2274</f>
        <v>5074</v>
      </c>
      <c r="R200" s="161">
        <f t="shared" si="75"/>
        <v>0</v>
      </c>
    </row>
    <row r="201" spans="1:19" ht="30" x14ac:dyDescent="0.3">
      <c r="A201" s="157" t="s">
        <v>227</v>
      </c>
      <c r="B201" s="261"/>
      <c r="C201" s="32">
        <v>244</v>
      </c>
      <c r="D201" s="32">
        <v>344</v>
      </c>
      <c r="E201" s="262" t="s">
        <v>235</v>
      </c>
      <c r="F201" s="258"/>
      <c r="G201" s="258"/>
      <c r="H201" s="160"/>
      <c r="I201" s="160"/>
      <c r="J201" s="160">
        <f t="shared" si="72"/>
        <v>0</v>
      </c>
      <c r="K201" s="160">
        <v>25000</v>
      </c>
      <c r="L201" s="160">
        <f t="shared" si="73"/>
        <v>25000</v>
      </c>
      <c r="M201" s="160"/>
      <c r="N201" s="160">
        <f t="shared" si="74"/>
        <v>25000</v>
      </c>
      <c r="O201" s="112" t="s">
        <v>119</v>
      </c>
      <c r="P201" s="160">
        <v>25000</v>
      </c>
      <c r="Q201" s="162">
        <v>25000</v>
      </c>
      <c r="R201" s="161">
        <f t="shared" si="75"/>
        <v>0</v>
      </c>
      <c r="S201" s="1" t="s">
        <v>236</v>
      </c>
    </row>
    <row r="202" spans="1:19" x14ac:dyDescent="0.3">
      <c r="A202" s="157" t="s">
        <v>227</v>
      </c>
      <c r="B202" s="261"/>
      <c r="C202" s="32">
        <v>853</v>
      </c>
      <c r="D202" s="32">
        <v>293</v>
      </c>
      <c r="E202" s="262" t="s">
        <v>237</v>
      </c>
      <c r="F202" s="258"/>
      <c r="G202" s="258"/>
      <c r="H202" s="160"/>
      <c r="I202" s="160"/>
      <c r="J202" s="160">
        <f t="shared" si="72"/>
        <v>0</v>
      </c>
      <c r="K202" s="160"/>
      <c r="L202" s="160">
        <f t="shared" si="73"/>
        <v>0</v>
      </c>
      <c r="M202" s="160">
        <v>4.6399999999999997</v>
      </c>
      <c r="N202" s="160">
        <f t="shared" si="74"/>
        <v>4.6399999999999997</v>
      </c>
      <c r="O202" s="235"/>
      <c r="P202" s="160"/>
      <c r="Q202" s="162">
        <f>4.64</f>
        <v>4.6399999999999997</v>
      </c>
      <c r="R202" s="161">
        <f t="shared" si="75"/>
        <v>0</v>
      </c>
    </row>
    <row r="203" spans="1:19" x14ac:dyDescent="0.3">
      <c r="A203" s="157" t="s">
        <v>227</v>
      </c>
      <c r="B203" s="158"/>
      <c r="C203" s="263"/>
      <c r="D203" s="263"/>
      <c r="E203" s="225"/>
      <c r="F203" s="258"/>
      <c r="G203" s="258"/>
      <c r="H203" s="160"/>
      <c r="I203" s="160"/>
      <c r="J203" s="160">
        <f t="shared" si="72"/>
        <v>0</v>
      </c>
      <c r="K203" s="160"/>
      <c r="L203" s="160">
        <f t="shared" si="73"/>
        <v>0</v>
      </c>
      <c r="M203" s="160"/>
      <c r="N203" s="160">
        <f t="shared" si="74"/>
        <v>0</v>
      </c>
      <c r="O203" s="264"/>
      <c r="P203" s="161"/>
      <c r="Q203" s="162"/>
      <c r="R203" s="161">
        <f t="shared" si="75"/>
        <v>0</v>
      </c>
    </row>
    <row r="204" spans="1:19" x14ac:dyDescent="0.3">
      <c r="A204" s="157" t="s">
        <v>227</v>
      </c>
      <c r="B204" s="158"/>
      <c r="C204" s="265"/>
      <c r="D204" s="265"/>
      <c r="E204" s="225"/>
      <c r="F204" s="258"/>
      <c r="G204" s="258"/>
      <c r="H204" s="160"/>
      <c r="I204" s="160"/>
      <c r="J204" s="160">
        <f t="shared" si="72"/>
        <v>0</v>
      </c>
      <c r="K204" s="160"/>
      <c r="L204" s="160">
        <f t="shared" si="73"/>
        <v>0</v>
      </c>
      <c r="M204" s="160"/>
      <c r="N204" s="160">
        <f t="shared" si="74"/>
        <v>0</v>
      </c>
      <c r="O204" s="264"/>
      <c r="P204" s="161"/>
      <c r="Q204" s="162"/>
      <c r="R204" s="161">
        <f t="shared" si="75"/>
        <v>0</v>
      </c>
    </row>
    <row r="205" spans="1:19" x14ac:dyDescent="0.3">
      <c r="A205" s="157" t="s">
        <v>227</v>
      </c>
      <c r="B205" s="158"/>
      <c r="C205" s="225"/>
      <c r="D205" s="225"/>
      <c r="E205" s="225"/>
      <c r="F205" s="258"/>
      <c r="G205" s="258"/>
      <c r="H205" s="160"/>
      <c r="I205" s="160"/>
      <c r="J205" s="160">
        <f t="shared" si="72"/>
        <v>0</v>
      </c>
      <c r="K205" s="160"/>
      <c r="L205" s="160">
        <f t="shared" si="73"/>
        <v>0</v>
      </c>
      <c r="M205" s="160"/>
      <c r="N205" s="160">
        <f t="shared" si="74"/>
        <v>0</v>
      </c>
      <c r="O205" s="264"/>
      <c r="P205" s="161"/>
      <c r="Q205" s="162"/>
      <c r="R205" s="161">
        <f t="shared" si="75"/>
        <v>0</v>
      </c>
    </row>
    <row r="206" spans="1:19" x14ac:dyDescent="0.3">
      <c r="A206" s="157" t="s">
        <v>227</v>
      </c>
      <c r="B206" s="261"/>
      <c r="C206" s="32"/>
      <c r="D206" s="262"/>
      <c r="E206" s="262"/>
      <c r="F206" s="258"/>
      <c r="G206" s="258"/>
      <c r="H206" s="160"/>
      <c r="I206" s="160"/>
      <c r="J206" s="160">
        <f t="shared" si="72"/>
        <v>0</v>
      </c>
      <c r="K206" s="160"/>
      <c r="L206" s="160">
        <f t="shared" si="73"/>
        <v>0</v>
      </c>
      <c r="M206" s="160"/>
      <c r="N206" s="160">
        <f t="shared" si="74"/>
        <v>0</v>
      </c>
      <c r="O206" s="235"/>
      <c r="P206" s="160"/>
      <c r="Q206" s="162"/>
      <c r="R206" s="161">
        <f t="shared" si="75"/>
        <v>0</v>
      </c>
    </row>
    <row r="207" spans="1:19" x14ac:dyDescent="0.3">
      <c r="A207" s="157" t="s">
        <v>227</v>
      </c>
      <c r="B207" s="261"/>
      <c r="C207" s="32"/>
      <c r="D207" s="262"/>
      <c r="E207" s="262"/>
      <c r="F207" s="258"/>
      <c r="G207" s="258"/>
      <c r="H207" s="160"/>
      <c r="I207" s="160"/>
      <c r="J207" s="160">
        <f t="shared" si="72"/>
        <v>0</v>
      </c>
      <c r="K207" s="160"/>
      <c r="L207" s="160">
        <f t="shared" si="73"/>
        <v>0</v>
      </c>
      <c r="M207" s="160"/>
      <c r="N207" s="160">
        <f t="shared" si="74"/>
        <v>0</v>
      </c>
      <c r="O207" s="235"/>
      <c r="P207" s="160"/>
      <c r="Q207" s="162"/>
      <c r="R207" s="161">
        <f t="shared" si="75"/>
        <v>0</v>
      </c>
    </row>
    <row r="208" spans="1:19" x14ac:dyDescent="0.3">
      <c r="A208" s="157" t="s">
        <v>227</v>
      </c>
      <c r="B208" s="261"/>
      <c r="C208" s="32"/>
      <c r="D208" s="262"/>
      <c r="E208" s="262"/>
      <c r="F208" s="258"/>
      <c r="G208" s="258"/>
      <c r="H208" s="160"/>
      <c r="I208" s="160"/>
      <c r="J208" s="160">
        <f t="shared" si="72"/>
        <v>0</v>
      </c>
      <c r="K208" s="160"/>
      <c r="L208" s="160">
        <f t="shared" si="73"/>
        <v>0</v>
      </c>
      <c r="M208" s="160"/>
      <c r="N208" s="160">
        <f t="shared" si="74"/>
        <v>0</v>
      </c>
      <c r="O208" s="235"/>
      <c r="P208" s="160"/>
      <c r="Q208" s="162"/>
      <c r="R208" s="161">
        <f t="shared" si="75"/>
        <v>0</v>
      </c>
    </row>
    <row r="209" spans="1:18" x14ac:dyDescent="0.3">
      <c r="A209" s="157" t="s">
        <v>227</v>
      </c>
      <c r="B209" s="261"/>
      <c r="C209" s="32"/>
      <c r="D209" s="262"/>
      <c r="E209" s="262"/>
      <c r="F209" s="258"/>
      <c r="G209" s="258"/>
      <c r="H209" s="160"/>
      <c r="I209" s="160"/>
      <c r="J209" s="160">
        <f t="shared" si="72"/>
        <v>0</v>
      </c>
      <c r="K209" s="160"/>
      <c r="L209" s="160">
        <f t="shared" si="73"/>
        <v>0</v>
      </c>
      <c r="M209" s="160"/>
      <c r="N209" s="160">
        <f t="shared" si="74"/>
        <v>0</v>
      </c>
      <c r="O209" s="235"/>
      <c r="P209" s="160"/>
      <c r="Q209" s="162"/>
      <c r="R209" s="161">
        <f t="shared" si="75"/>
        <v>0</v>
      </c>
    </row>
    <row r="210" spans="1:18" x14ac:dyDescent="0.3">
      <c r="A210" s="273" t="s">
        <v>238</v>
      </c>
      <c r="B210" s="274"/>
      <c r="C210" s="274"/>
      <c r="D210" s="274"/>
      <c r="E210" s="275"/>
      <c r="F210" s="266">
        <f t="shared" ref="F210:N210" si="76">SUM(F196:F209)</f>
        <v>0</v>
      </c>
      <c r="G210" s="266">
        <f t="shared" si="76"/>
        <v>7190</v>
      </c>
      <c r="H210" s="163">
        <f t="shared" si="76"/>
        <v>7190</v>
      </c>
      <c r="I210" s="163">
        <f t="shared" si="76"/>
        <v>110372.08</v>
      </c>
      <c r="J210" s="163">
        <f t="shared" si="76"/>
        <v>117562.08</v>
      </c>
      <c r="K210" s="163">
        <f t="shared" si="76"/>
        <v>25000</v>
      </c>
      <c r="L210" s="163">
        <f t="shared" si="76"/>
        <v>142562.08000000002</v>
      </c>
      <c r="M210" s="163">
        <f t="shared" si="76"/>
        <v>59938.89</v>
      </c>
      <c r="N210" s="163">
        <f t="shared" si="76"/>
        <v>202500.97000000003</v>
      </c>
      <c r="O210" s="164"/>
      <c r="P210" s="163">
        <f>SUM(P196:P209)</f>
        <v>43240</v>
      </c>
      <c r="Q210" s="163">
        <f>SUM(Q196:Q209)</f>
        <v>202500.97000000003</v>
      </c>
      <c r="R210" s="163">
        <f>SUM(R196:R209)</f>
        <v>0</v>
      </c>
    </row>
    <row r="212" spans="1:18" x14ac:dyDescent="0.3">
      <c r="L212" s="271" t="s">
        <v>239</v>
      </c>
    </row>
    <row r="213" spans="1:18" x14ac:dyDescent="0.3">
      <c r="K213" s="271"/>
      <c r="N213" s="271"/>
    </row>
    <row r="214" spans="1:18" x14ac:dyDescent="0.3">
      <c r="N214" s="271"/>
    </row>
    <row r="219" spans="1:18" x14ac:dyDescent="0.3">
      <c r="K219" s="271"/>
    </row>
  </sheetData>
  <autoFilter ref="A3:R89"/>
  <mergeCells count="58">
    <mergeCell ref="S38:S44"/>
    <mergeCell ref="A1:R2"/>
    <mergeCell ref="O24:O25"/>
    <mergeCell ref="P24:P25"/>
    <mergeCell ref="Q24:Q25"/>
    <mergeCell ref="R24:R25"/>
    <mergeCell ref="O30:O31"/>
    <mergeCell ref="P30:P31"/>
    <mergeCell ref="Q30:Q31"/>
    <mergeCell ref="R30:R31"/>
    <mergeCell ref="O34:O35"/>
    <mergeCell ref="P34:P35"/>
    <mergeCell ref="Q34:Q35"/>
    <mergeCell ref="R34:R35"/>
    <mergeCell ref="O38:O44"/>
    <mergeCell ref="A118:D119"/>
    <mergeCell ref="O46:O47"/>
    <mergeCell ref="P46:P47"/>
    <mergeCell ref="R46:R47"/>
    <mergeCell ref="A95:E95"/>
    <mergeCell ref="A100:E101"/>
    <mergeCell ref="A103:E103"/>
    <mergeCell ref="A106:E106"/>
    <mergeCell ref="A108:E108"/>
    <mergeCell ref="A111:E111"/>
    <mergeCell ref="A113:E113"/>
    <mergeCell ref="A114:E114"/>
    <mergeCell ref="R140:R141"/>
    <mergeCell ref="A146:E146"/>
    <mergeCell ref="A122:E122"/>
    <mergeCell ref="A124:E125"/>
    <mergeCell ref="A127:E127"/>
    <mergeCell ref="A129:E130"/>
    <mergeCell ref="A132:E132"/>
    <mergeCell ref="A134:E135"/>
    <mergeCell ref="A164:E164"/>
    <mergeCell ref="A137:E137"/>
    <mergeCell ref="A139:B139"/>
    <mergeCell ref="O140:O141"/>
    <mergeCell ref="P140:P141"/>
    <mergeCell ref="A148:E148"/>
    <mergeCell ref="A152:E152"/>
    <mergeCell ref="A155:E156"/>
    <mergeCell ref="A158:E158"/>
    <mergeCell ref="A160:E161"/>
    <mergeCell ref="A166:E167"/>
    <mergeCell ref="A169:E169"/>
    <mergeCell ref="A173:E173"/>
    <mergeCell ref="K182:K183"/>
    <mergeCell ref="L182:L183"/>
    <mergeCell ref="A210:E210"/>
    <mergeCell ref="P182:P183"/>
    <mergeCell ref="R182:R183"/>
    <mergeCell ref="A186:E186"/>
    <mergeCell ref="A189:B189"/>
    <mergeCell ref="A192:E192"/>
    <mergeCell ref="A195:E195"/>
    <mergeCell ref="O182:O183"/>
  </mergeCells>
  <pageMargins left="0" right="0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School-3</cp:lastModifiedBy>
  <dcterms:created xsi:type="dcterms:W3CDTF">2023-12-04T06:09:55Z</dcterms:created>
  <dcterms:modified xsi:type="dcterms:W3CDTF">2023-12-04T10:22:15Z</dcterms:modified>
</cp:coreProperties>
</file>